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d\Downloads\"/>
    </mc:Choice>
  </mc:AlternateContent>
  <xr:revisionPtr revIDLastSave="0" documentId="13_ncr:1_{EAA57AF9-7083-4A0E-880B-1ED962B155AE}" xr6:coauthVersionLast="47" xr6:coauthVersionMax="47" xr10:uidLastSave="{00000000-0000-0000-0000-000000000000}"/>
  <bookViews>
    <workbookView xWindow="-108" yWindow="-108" windowWidth="23256" windowHeight="12456" firstSheet="6" activeTab="9" xr2:uid="{50FAECBF-DC5F-4123-BA43-59F0A1184945}"/>
  </bookViews>
  <sheets>
    <sheet name="DCF&gt;" sheetId="3" r:id="rId1"/>
    <sheet name="WACC" sheetId="1" r:id="rId2"/>
    <sheet name="Intrisic Growth " sheetId="10" r:id="rId3"/>
    <sheet name="Caseflow Statement " sheetId="13" r:id="rId4"/>
    <sheet name="Data room" sheetId="9" r:id="rId5"/>
    <sheet name="HistoricalFS &gt;" sheetId="12" r:id="rId6"/>
    <sheet name="Data&gt;" sheetId="4" r:id="rId7"/>
    <sheet name="Data Sheet" sheetId="11" r:id="rId8"/>
    <sheet name="Beta Regression " sheetId="5" r:id="rId9"/>
    <sheet name="Beta -Comps" sheetId="6" r:id="rId10"/>
    <sheet name="RM" sheetId="8" r:id="rId11"/>
  </sheets>
  <externalReferences>
    <externalReference r:id="rId12"/>
    <externalReference r:id="rId13"/>
  </externalReferences>
  <definedNames>
    <definedName name="_xlnm._FilterDatabase" localSheetId="8" hidden="1">'Beta Regression '!$B$5:$D$110</definedName>
    <definedName name="UPDATE">'[1]Data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10" l="1"/>
  <c r="J52" i="10"/>
  <c r="I52" i="10"/>
  <c r="H52" i="10"/>
  <c r="G52" i="10"/>
  <c r="H39" i="10"/>
  <c r="I39" i="10"/>
  <c r="J39" i="10"/>
  <c r="K39" i="10"/>
  <c r="G39" i="10"/>
  <c r="D11" i="13"/>
  <c r="E11" i="13"/>
  <c r="F11" i="13"/>
  <c r="G11" i="13"/>
  <c r="H11" i="13"/>
  <c r="I11" i="13"/>
  <c r="J11" i="13"/>
  <c r="K11" i="13"/>
  <c r="L11" i="13"/>
  <c r="M11" i="13"/>
  <c r="N11" i="13"/>
  <c r="C11" i="13"/>
  <c r="D26" i="13"/>
  <c r="E26" i="13"/>
  <c r="F26" i="13"/>
  <c r="G26" i="13"/>
  <c r="H26" i="13"/>
  <c r="I26" i="13"/>
  <c r="J26" i="13"/>
  <c r="K26" i="13"/>
  <c r="L26" i="13"/>
  <c r="M26" i="13"/>
  <c r="N26" i="13"/>
  <c r="C26" i="13"/>
  <c r="D38" i="13"/>
  <c r="E38" i="13"/>
  <c r="F38" i="13"/>
  <c r="G38" i="13"/>
  <c r="H38" i="13"/>
  <c r="I38" i="13"/>
  <c r="J38" i="13"/>
  <c r="K38" i="13"/>
  <c r="L38" i="13"/>
  <c r="M38" i="13"/>
  <c r="N38" i="13"/>
  <c r="C38" i="13"/>
  <c r="H37" i="10"/>
  <c r="I37" i="10"/>
  <c r="J37" i="10"/>
  <c r="K37" i="10"/>
  <c r="G37" i="10"/>
  <c r="H2" i="10"/>
  <c r="I2" i="10"/>
  <c r="J2" i="10"/>
  <c r="K2" i="10"/>
  <c r="G2" i="10"/>
  <c r="L112" i="12"/>
  <c r="K112" i="12"/>
  <c r="J112" i="12"/>
  <c r="I112" i="12"/>
  <c r="H112" i="12"/>
  <c r="G112" i="12"/>
  <c r="F112" i="12"/>
  <c r="E112" i="12"/>
  <c r="D112" i="12"/>
  <c r="C112" i="12"/>
  <c r="L111" i="12"/>
  <c r="K111" i="12"/>
  <c r="J111" i="12"/>
  <c r="J113" i="12" s="1"/>
  <c r="I111" i="12"/>
  <c r="H111" i="12"/>
  <c r="G111" i="12"/>
  <c r="F111" i="12"/>
  <c r="F113" i="12" s="1"/>
  <c r="E111" i="12"/>
  <c r="D111" i="12"/>
  <c r="C111" i="12"/>
  <c r="L110" i="12"/>
  <c r="K110" i="12"/>
  <c r="J110" i="12"/>
  <c r="I110" i="12"/>
  <c r="H110" i="12"/>
  <c r="H113" i="12" s="1"/>
  <c r="G110" i="12"/>
  <c r="F110" i="12"/>
  <c r="E110" i="12"/>
  <c r="D110" i="12"/>
  <c r="D113" i="12" s="1"/>
  <c r="C110" i="12"/>
  <c r="L103" i="12"/>
  <c r="K103" i="12"/>
  <c r="J103" i="12"/>
  <c r="I103" i="12"/>
  <c r="H103" i="12"/>
  <c r="G103" i="12"/>
  <c r="F103" i="12"/>
  <c r="E103" i="12"/>
  <c r="D103" i="12"/>
  <c r="C103" i="12"/>
  <c r="L102" i="12"/>
  <c r="K102" i="12"/>
  <c r="J102" i="12"/>
  <c r="I102" i="12"/>
  <c r="H102" i="12"/>
  <c r="G102" i="12"/>
  <c r="F102" i="12"/>
  <c r="E102" i="12"/>
  <c r="D102" i="12"/>
  <c r="C102" i="12"/>
  <c r="L101" i="12"/>
  <c r="K101" i="12"/>
  <c r="J101" i="12"/>
  <c r="I101" i="12"/>
  <c r="H101" i="12"/>
  <c r="G101" i="12"/>
  <c r="F101" i="12"/>
  <c r="E101" i="12"/>
  <c r="D101" i="12"/>
  <c r="C101" i="12"/>
  <c r="L100" i="12"/>
  <c r="K100" i="12"/>
  <c r="J100" i="12"/>
  <c r="I100" i="12"/>
  <c r="H100" i="12"/>
  <c r="G100" i="12"/>
  <c r="F100" i="12"/>
  <c r="E100" i="12"/>
  <c r="D100" i="12"/>
  <c r="C100" i="12"/>
  <c r="L99" i="12"/>
  <c r="K99" i="12"/>
  <c r="J99" i="12"/>
  <c r="I99" i="12"/>
  <c r="H99" i="12"/>
  <c r="G99" i="12"/>
  <c r="F99" i="12"/>
  <c r="E99" i="12"/>
  <c r="D99" i="12"/>
  <c r="C99" i="12"/>
  <c r="L98" i="12"/>
  <c r="K98" i="12"/>
  <c r="J98" i="12"/>
  <c r="I98" i="12"/>
  <c r="H98" i="12"/>
  <c r="G98" i="12"/>
  <c r="F98" i="12"/>
  <c r="E98" i="12"/>
  <c r="D98" i="12"/>
  <c r="C98" i="12"/>
  <c r="L97" i="12"/>
  <c r="K97" i="12"/>
  <c r="J97" i="12"/>
  <c r="I97" i="12"/>
  <c r="H97" i="12"/>
  <c r="G97" i="12"/>
  <c r="F97" i="12"/>
  <c r="E97" i="12"/>
  <c r="D97" i="12"/>
  <c r="C97" i="12"/>
  <c r="L96" i="12"/>
  <c r="L104" i="12" s="1"/>
  <c r="K96" i="12"/>
  <c r="J96" i="12"/>
  <c r="I96" i="12"/>
  <c r="H96" i="12"/>
  <c r="H104" i="12" s="1"/>
  <c r="G96" i="12"/>
  <c r="F96" i="12"/>
  <c r="E96" i="12"/>
  <c r="D96" i="12"/>
  <c r="D104" i="12" s="1"/>
  <c r="C96" i="12"/>
  <c r="L95" i="12"/>
  <c r="K95" i="12"/>
  <c r="J95" i="12"/>
  <c r="J104" i="12" s="1"/>
  <c r="I95" i="12"/>
  <c r="H95" i="12"/>
  <c r="G95" i="12"/>
  <c r="F95" i="12"/>
  <c r="F104" i="12" s="1"/>
  <c r="E95" i="12"/>
  <c r="D95" i="12"/>
  <c r="C95" i="12"/>
  <c r="L91" i="12"/>
  <c r="K91" i="12"/>
  <c r="J91" i="12"/>
  <c r="I91" i="12"/>
  <c r="H91" i="12"/>
  <c r="G91" i="12"/>
  <c r="F91" i="12"/>
  <c r="E91" i="12"/>
  <c r="D91" i="12"/>
  <c r="C91" i="12"/>
  <c r="L90" i="12"/>
  <c r="K90" i="12"/>
  <c r="J90" i="12"/>
  <c r="I90" i="12"/>
  <c r="H90" i="12"/>
  <c r="G90" i="12"/>
  <c r="F90" i="12"/>
  <c r="E90" i="12"/>
  <c r="D90" i="12"/>
  <c r="C90" i="12"/>
  <c r="L89" i="12"/>
  <c r="K89" i="12"/>
  <c r="J89" i="12"/>
  <c r="I89" i="12"/>
  <c r="H89" i="12"/>
  <c r="G89" i="12"/>
  <c r="F89" i="12"/>
  <c r="E89" i="12"/>
  <c r="D89" i="12"/>
  <c r="C89" i="12"/>
  <c r="L88" i="12"/>
  <c r="K88" i="12"/>
  <c r="J88" i="12"/>
  <c r="I88" i="12"/>
  <c r="H88" i="12"/>
  <c r="G88" i="12"/>
  <c r="F88" i="12"/>
  <c r="E88" i="12"/>
  <c r="D88" i="12"/>
  <c r="C88" i="12"/>
  <c r="L87" i="12"/>
  <c r="K87" i="12"/>
  <c r="J87" i="12"/>
  <c r="I87" i="12"/>
  <c r="H87" i="12"/>
  <c r="G87" i="12"/>
  <c r="F87" i="12"/>
  <c r="E87" i="12"/>
  <c r="D87" i="12"/>
  <c r="C87" i="12"/>
  <c r="L86" i="12"/>
  <c r="K86" i="12"/>
  <c r="J86" i="12"/>
  <c r="I86" i="12"/>
  <c r="H86" i="12"/>
  <c r="G86" i="12"/>
  <c r="F86" i="12"/>
  <c r="E86" i="12"/>
  <c r="D86" i="12"/>
  <c r="C86" i="12"/>
  <c r="L85" i="12"/>
  <c r="K85" i="12"/>
  <c r="J85" i="12"/>
  <c r="I85" i="12"/>
  <c r="H85" i="12"/>
  <c r="G85" i="12"/>
  <c r="F85" i="12"/>
  <c r="E85" i="12"/>
  <c r="D85" i="12"/>
  <c r="C85" i="12"/>
  <c r="L84" i="12"/>
  <c r="K84" i="12"/>
  <c r="J84" i="12"/>
  <c r="I84" i="12"/>
  <c r="H84" i="12"/>
  <c r="G84" i="12"/>
  <c r="F84" i="12"/>
  <c r="E84" i="12"/>
  <c r="D84" i="12"/>
  <c r="C84" i="12"/>
  <c r="L83" i="12"/>
  <c r="K83" i="12"/>
  <c r="J83" i="12"/>
  <c r="I83" i="12"/>
  <c r="H83" i="12"/>
  <c r="G83" i="12"/>
  <c r="F83" i="12"/>
  <c r="E83" i="12"/>
  <c r="D83" i="12"/>
  <c r="C83" i="12"/>
  <c r="L82" i="12"/>
  <c r="K82" i="12"/>
  <c r="J82" i="12"/>
  <c r="I82" i="12"/>
  <c r="H82" i="12"/>
  <c r="G82" i="12"/>
  <c r="F82" i="12"/>
  <c r="E82" i="12"/>
  <c r="D82" i="12"/>
  <c r="C82" i="12"/>
  <c r="L81" i="12"/>
  <c r="L92" i="12" s="1"/>
  <c r="K81" i="12"/>
  <c r="J81" i="12"/>
  <c r="I81" i="12"/>
  <c r="H81" i="12"/>
  <c r="H92" i="12" s="1"/>
  <c r="G81" i="12"/>
  <c r="F81" i="12"/>
  <c r="E81" i="12"/>
  <c r="D81" i="12"/>
  <c r="D92" i="12" s="1"/>
  <c r="C81" i="12"/>
  <c r="L80" i="12"/>
  <c r="K80" i="12"/>
  <c r="J80" i="12"/>
  <c r="J92" i="12" s="1"/>
  <c r="I80" i="12"/>
  <c r="H80" i="12"/>
  <c r="G80" i="12"/>
  <c r="F80" i="12"/>
  <c r="F92" i="12" s="1"/>
  <c r="E80" i="12"/>
  <c r="D80" i="12"/>
  <c r="C80" i="12"/>
  <c r="L76" i="12"/>
  <c r="K76" i="12"/>
  <c r="J76" i="12"/>
  <c r="I76" i="12"/>
  <c r="H76" i="12"/>
  <c r="G76" i="12"/>
  <c r="F76" i="12"/>
  <c r="E76" i="12"/>
  <c r="D76" i="12"/>
  <c r="C76" i="12"/>
  <c r="L75" i="12"/>
  <c r="K75" i="12"/>
  <c r="J75" i="12"/>
  <c r="I75" i="12"/>
  <c r="H75" i="12"/>
  <c r="G75" i="12"/>
  <c r="F75" i="12"/>
  <c r="E75" i="12"/>
  <c r="D75" i="12"/>
  <c r="C75" i="12"/>
  <c r="L74" i="12"/>
  <c r="K74" i="12"/>
  <c r="J74" i="12"/>
  <c r="I74" i="12"/>
  <c r="H74" i="12"/>
  <c r="G74" i="12"/>
  <c r="F74" i="12"/>
  <c r="E74" i="12"/>
  <c r="D74" i="12"/>
  <c r="C74" i="12"/>
  <c r="L73" i="12"/>
  <c r="K73" i="12"/>
  <c r="J73" i="12"/>
  <c r="I73" i="12"/>
  <c r="H73" i="12"/>
  <c r="G73" i="12"/>
  <c r="F73" i="12"/>
  <c r="E73" i="12"/>
  <c r="D73" i="12"/>
  <c r="C73" i="12"/>
  <c r="L72" i="12"/>
  <c r="K72" i="12"/>
  <c r="J72" i="12"/>
  <c r="I72" i="12"/>
  <c r="H72" i="12"/>
  <c r="G72" i="12"/>
  <c r="F72" i="12"/>
  <c r="E72" i="12"/>
  <c r="D72" i="12"/>
  <c r="C72" i="12"/>
  <c r="L71" i="12"/>
  <c r="K71" i="12"/>
  <c r="J71" i="12"/>
  <c r="I71" i="12"/>
  <c r="H71" i="12"/>
  <c r="G71" i="12"/>
  <c r="F71" i="12"/>
  <c r="E71" i="12"/>
  <c r="D71" i="12"/>
  <c r="C71" i="12"/>
  <c r="L70" i="12"/>
  <c r="L77" i="12" s="1"/>
  <c r="K70" i="12"/>
  <c r="J70" i="12"/>
  <c r="I70" i="12"/>
  <c r="H70" i="12"/>
  <c r="H77" i="12" s="1"/>
  <c r="G70" i="12"/>
  <c r="F70" i="12"/>
  <c r="E70" i="12"/>
  <c r="D70" i="12"/>
  <c r="C70" i="12"/>
  <c r="L69" i="12"/>
  <c r="K69" i="12"/>
  <c r="J69" i="12"/>
  <c r="J77" i="12" s="1"/>
  <c r="I69" i="12"/>
  <c r="H69" i="12"/>
  <c r="G69" i="12"/>
  <c r="F69" i="12"/>
  <c r="F77" i="12" s="1"/>
  <c r="E69" i="12"/>
  <c r="D69" i="12"/>
  <c r="C69" i="12"/>
  <c r="L60" i="12"/>
  <c r="K60" i="12"/>
  <c r="J60" i="12"/>
  <c r="I60" i="12"/>
  <c r="H60" i="12"/>
  <c r="G60" i="12"/>
  <c r="F60" i="12"/>
  <c r="E60" i="12"/>
  <c r="D60" i="12"/>
  <c r="C60" i="12"/>
  <c r="L59" i="12"/>
  <c r="K59" i="12"/>
  <c r="J59" i="12"/>
  <c r="J61" i="12" s="1"/>
  <c r="I59" i="12"/>
  <c r="H59" i="12"/>
  <c r="G59" i="12"/>
  <c r="F59" i="12"/>
  <c r="F61" i="12" s="1"/>
  <c r="E59" i="12"/>
  <c r="D59" i="12"/>
  <c r="C59" i="12"/>
  <c r="L58" i="12"/>
  <c r="L61" i="12" s="1"/>
  <c r="K58" i="12"/>
  <c r="J58" i="12"/>
  <c r="I58" i="12"/>
  <c r="H58" i="12"/>
  <c r="H61" i="12" s="1"/>
  <c r="G58" i="12"/>
  <c r="F58" i="12"/>
  <c r="E58" i="12"/>
  <c r="D58" i="12"/>
  <c r="D61" i="12" s="1"/>
  <c r="C58" i="12"/>
  <c r="L55" i="12"/>
  <c r="K55" i="12"/>
  <c r="J55" i="12"/>
  <c r="I55" i="12"/>
  <c r="H55" i="12"/>
  <c r="G55" i="12"/>
  <c r="F55" i="12"/>
  <c r="E55" i="12"/>
  <c r="D55" i="12"/>
  <c r="C55" i="12"/>
  <c r="L54" i="12"/>
  <c r="K54" i="12"/>
  <c r="J54" i="12"/>
  <c r="I54" i="12"/>
  <c r="H54" i="12"/>
  <c r="G54" i="12"/>
  <c r="F54" i="12"/>
  <c r="E54" i="12"/>
  <c r="D54" i="12"/>
  <c r="C54" i="12"/>
  <c r="L53" i="12"/>
  <c r="K53" i="12"/>
  <c r="J53" i="12"/>
  <c r="J56" i="12" s="1"/>
  <c r="I53" i="12"/>
  <c r="H53" i="12"/>
  <c r="G53" i="12"/>
  <c r="F53" i="12"/>
  <c r="F56" i="12" s="1"/>
  <c r="E53" i="12"/>
  <c r="D53" i="12"/>
  <c r="C53" i="12"/>
  <c r="L52" i="12"/>
  <c r="L56" i="12" s="1"/>
  <c r="K52" i="12"/>
  <c r="J52" i="12"/>
  <c r="I52" i="12"/>
  <c r="H52" i="12"/>
  <c r="H56" i="12" s="1"/>
  <c r="G52" i="12"/>
  <c r="F52" i="12"/>
  <c r="E52" i="12"/>
  <c r="D52" i="12"/>
  <c r="D56" i="12" s="1"/>
  <c r="C52" i="12"/>
  <c r="L50" i="12"/>
  <c r="K50" i="12"/>
  <c r="J50" i="12"/>
  <c r="I50" i="12"/>
  <c r="H50" i="12"/>
  <c r="G50" i="12"/>
  <c r="F50" i="12"/>
  <c r="E50" i="12"/>
  <c r="D50" i="12"/>
  <c r="C50" i="12"/>
  <c r="L49" i="12"/>
  <c r="K49" i="12"/>
  <c r="J49" i="12"/>
  <c r="I49" i="12"/>
  <c r="H49" i="12"/>
  <c r="G49" i="12"/>
  <c r="F49" i="12"/>
  <c r="E49" i="12"/>
  <c r="D49" i="12"/>
  <c r="C49" i="12"/>
  <c r="L48" i="12"/>
  <c r="K48" i="12"/>
  <c r="J48" i="12"/>
  <c r="I48" i="12"/>
  <c r="H48" i="12"/>
  <c r="G48" i="12"/>
  <c r="F48" i="12"/>
  <c r="E48" i="12"/>
  <c r="D48" i="12"/>
  <c r="C48" i="12"/>
  <c r="L47" i="12"/>
  <c r="K47" i="12"/>
  <c r="J47" i="12"/>
  <c r="I47" i="12"/>
  <c r="H47" i="12"/>
  <c r="G47" i="12"/>
  <c r="F47" i="12"/>
  <c r="E47" i="12"/>
  <c r="D47" i="12"/>
  <c r="C47" i="12"/>
  <c r="L46" i="12"/>
  <c r="K46" i="12"/>
  <c r="J46" i="12"/>
  <c r="I46" i="12"/>
  <c r="H46" i="12"/>
  <c r="G46" i="12"/>
  <c r="F46" i="12"/>
  <c r="E46" i="12"/>
  <c r="D46" i="12"/>
  <c r="C46" i="12"/>
  <c r="M35" i="12"/>
  <c r="M40" i="12" s="1"/>
  <c r="L35" i="12"/>
  <c r="L40" i="12" s="1"/>
  <c r="K35" i="12"/>
  <c r="K40" i="12" s="1"/>
  <c r="J35" i="12"/>
  <c r="J40" i="12" s="1"/>
  <c r="I35" i="12"/>
  <c r="I40" i="12" s="1"/>
  <c r="H35" i="12"/>
  <c r="H40" i="12" s="1"/>
  <c r="G35" i="12"/>
  <c r="G40" i="12" s="1"/>
  <c r="F35" i="12"/>
  <c r="F40" i="12" s="1"/>
  <c r="E35" i="12"/>
  <c r="E40" i="12" s="1"/>
  <c r="D35" i="12"/>
  <c r="D40" i="12" s="1"/>
  <c r="C35" i="12"/>
  <c r="C40" i="12" s="1"/>
  <c r="M29" i="12"/>
  <c r="L29" i="12"/>
  <c r="K29" i="12"/>
  <c r="J29" i="12"/>
  <c r="I29" i="12"/>
  <c r="H29" i="12"/>
  <c r="G29" i="12"/>
  <c r="F29" i="12"/>
  <c r="E29" i="12"/>
  <c r="D29" i="12"/>
  <c r="C29" i="12"/>
  <c r="M23" i="12"/>
  <c r="L23" i="12"/>
  <c r="K23" i="12"/>
  <c r="J23" i="12"/>
  <c r="I23" i="12"/>
  <c r="H23" i="12"/>
  <c r="G23" i="12"/>
  <c r="F23" i="12"/>
  <c r="E23" i="12"/>
  <c r="D23" i="12"/>
  <c r="M20" i="12"/>
  <c r="L3" i="12"/>
  <c r="K3" i="12"/>
  <c r="J3" i="12"/>
  <c r="I3" i="12"/>
  <c r="H3" i="12"/>
  <c r="G3" i="12"/>
  <c r="F3" i="12"/>
  <c r="E3" i="12"/>
  <c r="D3" i="12"/>
  <c r="C3" i="12"/>
  <c r="B2" i="12"/>
  <c r="C23" i="12"/>
  <c r="D20" i="12"/>
  <c r="E20" i="12"/>
  <c r="F20" i="12"/>
  <c r="G20" i="12"/>
  <c r="H20" i="12"/>
  <c r="I20" i="12"/>
  <c r="J20" i="12"/>
  <c r="K20" i="12"/>
  <c r="L20" i="12"/>
  <c r="C20" i="12"/>
  <c r="M17" i="12"/>
  <c r="L14" i="12"/>
  <c r="K14" i="12"/>
  <c r="J14" i="12"/>
  <c r="I14" i="12"/>
  <c r="H14" i="12"/>
  <c r="G14" i="12"/>
  <c r="F14" i="12"/>
  <c r="E14" i="12"/>
  <c r="D14" i="12"/>
  <c r="C14" i="12"/>
  <c r="M9" i="12"/>
  <c r="D9" i="12"/>
  <c r="E9" i="12"/>
  <c r="F9" i="12"/>
  <c r="G9" i="12"/>
  <c r="H9" i="12"/>
  <c r="I9" i="12"/>
  <c r="J9" i="12"/>
  <c r="K9" i="12"/>
  <c r="L9" i="12"/>
  <c r="C9" i="12"/>
  <c r="M6" i="12"/>
  <c r="D6" i="12"/>
  <c r="E6" i="12"/>
  <c r="F6" i="12"/>
  <c r="G6" i="12"/>
  <c r="H6" i="12"/>
  <c r="I6" i="12"/>
  <c r="J6" i="12"/>
  <c r="K6" i="12"/>
  <c r="L6" i="12"/>
  <c r="C6" i="12"/>
  <c r="K113" i="12"/>
  <c r="I113" i="12"/>
  <c r="G113" i="12"/>
  <c r="E113" i="12"/>
  <c r="C113" i="12"/>
  <c r="K104" i="12"/>
  <c r="I104" i="12"/>
  <c r="G104" i="12"/>
  <c r="E104" i="12"/>
  <c r="C104" i="12"/>
  <c r="K92" i="12"/>
  <c r="I92" i="12"/>
  <c r="G92" i="12"/>
  <c r="E92" i="12"/>
  <c r="C92" i="12"/>
  <c r="K77" i="12"/>
  <c r="I77" i="12"/>
  <c r="G77" i="12"/>
  <c r="E77" i="12"/>
  <c r="C77" i="12"/>
  <c r="K61" i="12"/>
  <c r="I61" i="12"/>
  <c r="G61" i="12"/>
  <c r="E61" i="12"/>
  <c r="C61" i="12"/>
  <c r="K56" i="12"/>
  <c r="I56" i="12"/>
  <c r="G56" i="12"/>
  <c r="E56" i="12"/>
  <c r="C56" i="12"/>
  <c r="N36" i="12"/>
  <c r="C12" i="12"/>
  <c r="D77" i="12" l="1"/>
  <c r="L113" i="12"/>
  <c r="C17" i="12"/>
  <c r="C13" i="12"/>
  <c r="D12" i="12"/>
  <c r="D7" i="12"/>
  <c r="E12" i="12"/>
  <c r="E7" i="12"/>
  <c r="F12" i="12"/>
  <c r="F7" i="12"/>
  <c r="G12" i="12"/>
  <c r="G7" i="12"/>
  <c r="H12" i="12"/>
  <c r="H7" i="12"/>
  <c r="I12" i="12"/>
  <c r="I7" i="12"/>
  <c r="J12" i="12"/>
  <c r="J7" i="12"/>
  <c r="K12" i="12"/>
  <c r="K7" i="12"/>
  <c r="L12" i="12"/>
  <c r="L7" i="12"/>
  <c r="M12" i="12"/>
  <c r="M13" i="12" s="1"/>
  <c r="M7" i="12"/>
  <c r="C10" i="12"/>
  <c r="D10" i="12"/>
  <c r="E10" i="12"/>
  <c r="F10" i="12"/>
  <c r="G10" i="12"/>
  <c r="H10" i="12"/>
  <c r="I10" i="12"/>
  <c r="J10" i="12"/>
  <c r="K10" i="12"/>
  <c r="L10" i="12"/>
  <c r="M10" i="12"/>
  <c r="C15" i="12"/>
  <c r="D15" i="12"/>
  <c r="E15" i="12"/>
  <c r="F15" i="12"/>
  <c r="G15" i="12"/>
  <c r="H15" i="12"/>
  <c r="I15" i="12"/>
  <c r="J15" i="12"/>
  <c r="K15" i="12"/>
  <c r="L15" i="12"/>
  <c r="M26" i="12"/>
  <c r="M18" i="12"/>
  <c r="C21" i="12"/>
  <c r="D21" i="12"/>
  <c r="E21" i="12"/>
  <c r="F21" i="12"/>
  <c r="G21" i="12"/>
  <c r="H21" i="12"/>
  <c r="I21" i="12"/>
  <c r="J21" i="12"/>
  <c r="K21" i="12"/>
  <c r="L21" i="12"/>
  <c r="M21" i="12"/>
  <c r="C24" i="12"/>
  <c r="D24" i="12"/>
  <c r="E24" i="12"/>
  <c r="F24" i="12"/>
  <c r="G24" i="12"/>
  <c r="H24" i="12"/>
  <c r="I24" i="12"/>
  <c r="J24" i="12"/>
  <c r="K24" i="12"/>
  <c r="L24" i="12"/>
  <c r="M24" i="12"/>
  <c r="C30" i="12"/>
  <c r="M30" i="12"/>
  <c r="C63" i="12"/>
  <c r="C65" i="12" s="1"/>
  <c r="D63" i="12"/>
  <c r="D65" i="12" s="1"/>
  <c r="E63" i="12"/>
  <c r="E65" i="12" s="1"/>
  <c r="F63" i="12"/>
  <c r="F65" i="12" s="1"/>
  <c r="G63" i="12"/>
  <c r="G65" i="12" s="1"/>
  <c r="H63" i="12"/>
  <c r="H65" i="12" s="1"/>
  <c r="I63" i="12"/>
  <c r="I65" i="12" s="1"/>
  <c r="J63" i="12"/>
  <c r="J65" i="12" s="1"/>
  <c r="K63" i="12"/>
  <c r="K65" i="12" s="1"/>
  <c r="L63" i="12"/>
  <c r="L65" i="12" s="1"/>
  <c r="C106" i="12"/>
  <c r="D106" i="12"/>
  <c r="E106" i="12"/>
  <c r="F106" i="12"/>
  <c r="G106" i="12"/>
  <c r="H106" i="12"/>
  <c r="I106" i="12"/>
  <c r="J106" i="12"/>
  <c r="K106" i="12"/>
  <c r="L106" i="12"/>
  <c r="M32" i="12" l="1"/>
  <c r="M27" i="12"/>
  <c r="L17" i="12"/>
  <c r="L13" i="12"/>
  <c r="K17" i="12"/>
  <c r="K13" i="12"/>
  <c r="J17" i="12"/>
  <c r="J13" i="12"/>
  <c r="I17" i="12"/>
  <c r="I13" i="12"/>
  <c r="H17" i="12"/>
  <c r="H13" i="12"/>
  <c r="G17" i="12"/>
  <c r="G13" i="12"/>
  <c r="F17" i="12"/>
  <c r="F13" i="12"/>
  <c r="E17" i="12"/>
  <c r="E13" i="12"/>
  <c r="D17" i="12"/>
  <c r="D13" i="12"/>
  <c r="C26" i="12"/>
  <c r="C18" i="12"/>
  <c r="C32" i="12" l="1"/>
  <c r="C27" i="12"/>
  <c r="D26" i="12"/>
  <c r="D18" i="12"/>
  <c r="D30" i="12"/>
  <c r="E26" i="12"/>
  <c r="E18" i="12"/>
  <c r="E30" i="12"/>
  <c r="F26" i="12"/>
  <c r="F18" i="12"/>
  <c r="F30" i="12"/>
  <c r="G26" i="12"/>
  <c r="G18" i="12"/>
  <c r="G30" i="12"/>
  <c r="H26" i="12"/>
  <c r="G33" i="10" s="1"/>
  <c r="G42" i="10" s="1"/>
  <c r="G44" i="10" s="1"/>
  <c r="H18" i="12"/>
  <c r="H30" i="12"/>
  <c r="I26" i="12"/>
  <c r="H33" i="10" s="1"/>
  <c r="H42" i="10" s="1"/>
  <c r="H44" i="10" s="1"/>
  <c r="I18" i="12"/>
  <c r="I30" i="12"/>
  <c r="J26" i="12"/>
  <c r="I33" i="10" s="1"/>
  <c r="I42" i="10" s="1"/>
  <c r="I44" i="10" s="1"/>
  <c r="J18" i="12"/>
  <c r="J30" i="12"/>
  <c r="K26" i="12"/>
  <c r="J33" i="10" s="1"/>
  <c r="J42" i="10" s="1"/>
  <c r="J44" i="10" s="1"/>
  <c r="K18" i="12"/>
  <c r="K30" i="12"/>
  <c r="L26" i="12"/>
  <c r="K33" i="10" s="1"/>
  <c r="K42" i="10" s="1"/>
  <c r="K44" i="10" s="1"/>
  <c r="L18" i="12"/>
  <c r="L30" i="12"/>
  <c r="M37" i="12"/>
  <c r="M33" i="12"/>
  <c r="M43" i="12" l="1"/>
  <c r="M41" i="12"/>
  <c r="L32" i="12"/>
  <c r="L27" i="12"/>
  <c r="K32" i="12"/>
  <c r="K27" i="12"/>
  <c r="J32" i="12"/>
  <c r="J27" i="12"/>
  <c r="I32" i="12"/>
  <c r="I27" i="12"/>
  <c r="H32" i="12"/>
  <c r="H27" i="12"/>
  <c r="G32" i="12"/>
  <c r="G27" i="12"/>
  <c r="F32" i="12"/>
  <c r="F27" i="12"/>
  <c r="E32" i="12"/>
  <c r="E27" i="12"/>
  <c r="D32" i="12"/>
  <c r="D27" i="12"/>
  <c r="C37" i="12"/>
  <c r="C33" i="12"/>
  <c r="C41" i="12" l="1"/>
  <c r="C43" i="12" s="1"/>
  <c r="D37" i="12"/>
  <c r="D33" i="12"/>
  <c r="E37" i="12"/>
  <c r="E33" i="12"/>
  <c r="F37" i="12"/>
  <c r="F33" i="12"/>
  <c r="G37" i="12"/>
  <c r="G33" i="12"/>
  <c r="H37" i="12"/>
  <c r="H33" i="12"/>
  <c r="I37" i="12"/>
  <c r="I33" i="12"/>
  <c r="J37" i="12"/>
  <c r="J33" i="12"/>
  <c r="K37" i="12"/>
  <c r="K33" i="12"/>
  <c r="L37" i="12"/>
  <c r="L33" i="12"/>
  <c r="L38" i="12" l="1"/>
  <c r="L41" i="12"/>
  <c r="L43" i="12" s="1"/>
  <c r="M38" i="12"/>
  <c r="K38" i="12"/>
  <c r="K41" i="12"/>
  <c r="K43" i="12" s="1"/>
  <c r="J43" i="12"/>
  <c r="J38" i="12"/>
  <c r="J41" i="12"/>
  <c r="I43" i="12"/>
  <c r="I38" i="12"/>
  <c r="I41" i="12"/>
  <c r="H38" i="12"/>
  <c r="H41" i="12"/>
  <c r="H43" i="12" s="1"/>
  <c r="G38" i="12"/>
  <c r="G41" i="12"/>
  <c r="G43" i="12" s="1"/>
  <c r="F38" i="12"/>
  <c r="F41" i="12"/>
  <c r="F43" i="12" s="1"/>
  <c r="E38" i="12"/>
  <c r="E41" i="12"/>
  <c r="E43" i="12" s="1"/>
  <c r="D38" i="12"/>
  <c r="D41" i="12"/>
  <c r="D43" i="12" s="1"/>
  <c r="G27" i="10" l="1"/>
  <c r="H27" i="10"/>
  <c r="I27" i="10"/>
  <c r="J27" i="10"/>
  <c r="K27" i="10"/>
  <c r="H26" i="10"/>
  <c r="I26" i="10"/>
  <c r="J26" i="10"/>
  <c r="K26" i="10"/>
  <c r="H29" i="10"/>
  <c r="I29" i="10"/>
  <c r="J29" i="10"/>
  <c r="K29" i="10"/>
  <c r="G29" i="10"/>
  <c r="G21" i="10"/>
  <c r="H21" i="10"/>
  <c r="I21" i="10"/>
  <c r="J21" i="10"/>
  <c r="K21" i="10"/>
  <c r="G22" i="10"/>
  <c r="H22" i="10"/>
  <c r="I22" i="10"/>
  <c r="J22" i="10"/>
  <c r="K22" i="10"/>
  <c r="G23" i="10"/>
  <c r="H23" i="10"/>
  <c r="I23" i="10"/>
  <c r="J23" i="10"/>
  <c r="K23" i="10"/>
  <c r="G24" i="10"/>
  <c r="H24" i="10"/>
  <c r="I24" i="10"/>
  <c r="J24" i="10"/>
  <c r="K24" i="10"/>
  <c r="G25" i="10"/>
  <c r="H25" i="10"/>
  <c r="I25" i="10"/>
  <c r="J25" i="10"/>
  <c r="K25" i="10"/>
  <c r="G26" i="10"/>
  <c r="H20" i="10"/>
  <c r="I20" i="10"/>
  <c r="J20" i="10"/>
  <c r="K20" i="10"/>
  <c r="K28" i="10" s="1"/>
  <c r="K30" i="10" s="1"/>
  <c r="G20" i="10"/>
  <c r="B27" i="10"/>
  <c r="B21" i="10"/>
  <c r="B22" i="10"/>
  <c r="B23" i="10"/>
  <c r="B24" i="10"/>
  <c r="B25" i="10"/>
  <c r="B26" i="10"/>
  <c r="B20" i="10"/>
  <c r="H12" i="10"/>
  <c r="I12" i="10"/>
  <c r="I15" i="10" s="1"/>
  <c r="J12" i="10"/>
  <c r="J15" i="10" s="1"/>
  <c r="K12" i="10"/>
  <c r="H13" i="10"/>
  <c r="I13" i="10"/>
  <c r="J13" i="10"/>
  <c r="K13" i="10"/>
  <c r="H14" i="10"/>
  <c r="I14" i="10"/>
  <c r="J14" i="10"/>
  <c r="K14" i="10"/>
  <c r="G13" i="10"/>
  <c r="G14" i="10"/>
  <c r="G12" i="10"/>
  <c r="B14" i="10"/>
  <c r="B13" i="10"/>
  <c r="B12" i="10"/>
  <c r="K15" i="10"/>
  <c r="H15" i="10"/>
  <c r="G15" i="10"/>
  <c r="H7" i="10"/>
  <c r="I7" i="10"/>
  <c r="J7" i="10"/>
  <c r="K7" i="10"/>
  <c r="H8" i="10"/>
  <c r="I8" i="10"/>
  <c r="J8" i="10"/>
  <c r="K8" i="10"/>
  <c r="G8" i="10"/>
  <c r="G7" i="10"/>
  <c r="B8" i="10"/>
  <c r="B7" i="10"/>
  <c r="H5" i="10"/>
  <c r="I5" i="10"/>
  <c r="J5" i="10"/>
  <c r="K5" i="10"/>
  <c r="H6" i="10"/>
  <c r="I6" i="10"/>
  <c r="J6" i="10"/>
  <c r="K6" i="10"/>
  <c r="G6" i="10"/>
  <c r="G5" i="10"/>
  <c r="G9" i="10" s="1"/>
  <c r="B6" i="10"/>
  <c r="B5" i="10"/>
  <c r="N29" i="9"/>
  <c r="M29" i="9"/>
  <c r="L29" i="9"/>
  <c r="K29" i="9"/>
  <c r="J29" i="9"/>
  <c r="I29" i="9"/>
  <c r="H29" i="9"/>
  <c r="G29" i="9"/>
  <c r="F29" i="9"/>
  <c r="E29" i="9"/>
  <c r="D29" i="9"/>
  <c r="C29" i="9"/>
  <c r="G4" i="8"/>
  <c r="G6" i="8" s="1"/>
  <c r="G17" i="1"/>
  <c r="J15" i="1"/>
  <c r="J14" i="1"/>
  <c r="J13" i="1"/>
  <c r="J12" i="1"/>
  <c r="F15" i="1"/>
  <c r="F14" i="1"/>
  <c r="F13" i="1"/>
  <c r="F12" i="1"/>
  <c r="F11" i="1"/>
  <c r="C33" i="1" s="1"/>
  <c r="E15" i="1"/>
  <c r="E14" i="1"/>
  <c r="E13" i="1"/>
  <c r="E12" i="1"/>
  <c r="E11" i="1"/>
  <c r="C32" i="1" s="1"/>
  <c r="M7" i="5"/>
  <c r="J6" i="5" s="1"/>
  <c r="J12" i="5" l="1"/>
  <c r="J11" i="1"/>
  <c r="G17" i="10"/>
  <c r="I28" i="10"/>
  <c r="I30" i="10" s="1"/>
  <c r="J28" i="10"/>
  <c r="J30" i="10" s="1"/>
  <c r="G28" i="10"/>
  <c r="G30" i="10" s="1"/>
  <c r="H28" i="10"/>
  <c r="H30" i="10" s="1"/>
  <c r="G32" i="10"/>
  <c r="G35" i="10" s="1"/>
  <c r="H55" i="10" s="1"/>
  <c r="K9" i="10"/>
  <c r="K17" i="10" s="1"/>
  <c r="J9" i="10"/>
  <c r="J17" i="10" s="1"/>
  <c r="I9" i="10"/>
  <c r="I17" i="10" s="1"/>
  <c r="H9" i="10"/>
  <c r="H17" i="10" s="1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33" i="1"/>
  <c r="M5" i="5" l="1"/>
  <c r="M4" i="5"/>
  <c r="H32" i="10"/>
  <c r="H35" i="10" s="1"/>
  <c r="I55" i="10" s="1"/>
  <c r="H40" i="10"/>
  <c r="H46" i="10" s="1"/>
  <c r="H47" i="10" s="1"/>
  <c r="H54" i="10" s="1"/>
  <c r="H57" i="10" s="1"/>
  <c r="I32" i="10"/>
  <c r="I35" i="10" s="1"/>
  <c r="J55" i="10" s="1"/>
  <c r="I40" i="10"/>
  <c r="I46" i="10" s="1"/>
  <c r="I47" i="10" s="1"/>
  <c r="I54" i="10" s="1"/>
  <c r="I57" i="10" s="1"/>
  <c r="J32" i="10"/>
  <c r="J35" i="10" s="1"/>
  <c r="K55" i="10" s="1"/>
  <c r="J40" i="10"/>
  <c r="J46" i="10" s="1"/>
  <c r="J47" i="10" s="1"/>
  <c r="J54" i="10" s="1"/>
  <c r="K32" i="10"/>
  <c r="K35" i="10" s="1"/>
  <c r="K40" i="10"/>
  <c r="K46" i="10" s="1"/>
  <c r="K47" i="10" s="1"/>
  <c r="K54" i="10" s="1"/>
  <c r="K57" i="10" s="1"/>
  <c r="C34" i="1"/>
  <c r="E25" i="1"/>
  <c r="J40" i="1" s="1"/>
  <c r="J18" i="1"/>
  <c r="J17" i="1"/>
  <c r="G18" i="1"/>
  <c r="I12" i="1"/>
  <c r="I13" i="1"/>
  <c r="I14" i="1"/>
  <c r="I15" i="1"/>
  <c r="I11" i="1"/>
  <c r="H15" i="1"/>
  <c r="K15" i="1" s="1"/>
  <c r="H14" i="1"/>
  <c r="K14" i="1" s="1"/>
  <c r="H13" i="1"/>
  <c r="K13" i="1" s="1"/>
  <c r="H12" i="1"/>
  <c r="K12" i="1" s="1"/>
  <c r="H11" i="1"/>
  <c r="K11" i="1" s="1"/>
  <c r="J57" i="10" l="1"/>
  <c r="K17" i="1"/>
  <c r="K50" i="10"/>
  <c r="K49" i="10"/>
  <c r="H18" i="1"/>
  <c r="H17" i="1"/>
  <c r="E32" i="1" s="1"/>
  <c r="K40" i="1" s="1"/>
  <c r="I18" i="1"/>
  <c r="I17" i="1"/>
  <c r="D33" i="1"/>
  <c r="D32" i="1"/>
  <c r="D37" i="1" l="1"/>
  <c r="D34" i="1"/>
  <c r="E34" i="1" s="1"/>
  <c r="E33" i="1" s="1"/>
  <c r="K18" i="1"/>
  <c r="K31" i="1" s="1"/>
  <c r="E37" i="1" l="1"/>
  <c r="K32" i="1" s="1"/>
  <c r="K34" i="1" s="1"/>
  <c r="K25" i="1" s="1"/>
  <c r="K26" i="1" s="1"/>
  <c r="J41" i="1" s="1"/>
  <c r="K42" i="1" s="1"/>
  <c r="K41" i="1"/>
</calcChain>
</file>

<file path=xl/sharedStrings.xml><?xml version="1.0" encoding="utf-8"?>
<sst xmlns="http://schemas.openxmlformats.org/spreadsheetml/2006/main" count="395" uniqueCount="302">
  <si>
    <t>Weighted Average Cost of Capital</t>
  </si>
  <si>
    <t>All figures are in INR unless stated otherwise</t>
  </si>
  <si>
    <t>Peer Comps</t>
  </si>
  <si>
    <t xml:space="preserve">Name of the Company </t>
  </si>
  <si>
    <t>Country</t>
  </si>
  <si>
    <t>Total Debt</t>
  </si>
  <si>
    <t>Total Equity</t>
  </si>
  <si>
    <t xml:space="preserve">Tax Rate </t>
  </si>
  <si>
    <r>
      <t>Tax Rate</t>
    </r>
    <r>
      <rPr>
        <vertAlign val="superscript"/>
        <sz val="11"/>
        <color theme="1"/>
        <rFont val="Calibri"/>
        <family val="2"/>
      </rPr>
      <t xml:space="preserve"> 1</t>
    </r>
  </si>
  <si>
    <t>Equity</t>
  </si>
  <si>
    <t xml:space="preserve">Debt / </t>
  </si>
  <si>
    <t>Capital</t>
  </si>
  <si>
    <t>Debt /</t>
  </si>
  <si>
    <t>Levered</t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</si>
  <si>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</si>
  <si>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</si>
  <si>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Unlevered</t>
  </si>
  <si>
    <t>India</t>
  </si>
  <si>
    <t>Average</t>
  </si>
  <si>
    <t xml:space="preserve">Median </t>
  </si>
  <si>
    <t xml:space="preserve">Cost of Debt </t>
  </si>
  <si>
    <t>Pre-Tax Cost of Debt</t>
  </si>
  <si>
    <t>Post Tax Cost of Debt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</si>
  <si>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</si>
  <si>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</si>
  <si>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</si>
  <si>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</si>
  <si>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Capital Structure</t>
  </si>
  <si>
    <t>Current</t>
  </si>
  <si>
    <t>Target</t>
  </si>
  <si>
    <t>Market Capitalization</t>
  </si>
  <si>
    <t>Total Capital</t>
  </si>
  <si>
    <t>Levered Beta</t>
  </si>
  <si>
    <t>Comps Median Universal Beta</t>
  </si>
  <si>
    <t>Targeted Debt/Equity</t>
  </si>
  <si>
    <t>Tax Rate</t>
  </si>
  <si>
    <t>Debt/Equity</t>
  </si>
  <si>
    <t xml:space="preserve">Weighted Average Cost of Capital </t>
  </si>
  <si>
    <t>Debt</t>
  </si>
  <si>
    <t>Total Cost</t>
  </si>
  <si>
    <t>TotalWeight</t>
  </si>
  <si>
    <t xml:space="preserve"> </t>
  </si>
  <si>
    <t>Notes:</t>
  </si>
  <si>
    <t>1. Tax Rate considered as marginal Rate for the country</t>
  </si>
  <si>
    <t>2. Levered Beta is based on 5 Year Monthly data</t>
  </si>
  <si>
    <t>4.Levered Beta = UnLevered Beta/*(1+(1-Tax Rate )*Debt/Equity)</t>
  </si>
  <si>
    <t>3.Unlevered Beta = Levered Beta/(1+(1-Tax Rate )*Debt/Equity)</t>
  </si>
  <si>
    <t xml:space="preserve">Closing Price </t>
  </si>
  <si>
    <t xml:space="preserve">Weekly Return </t>
  </si>
  <si>
    <t xml:space="preserve">Date </t>
  </si>
  <si>
    <t>Avenue Supermart Weekly Returns</t>
  </si>
  <si>
    <t>NIFTY  Returns</t>
  </si>
  <si>
    <t>Beta  1</t>
  </si>
  <si>
    <t xml:space="preserve">Beta 2 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</si>
  <si>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</si>
  <si>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</si>
  <si>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</si>
  <si>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</si>
  <si>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</si>
  <si>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</si>
  <si>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</si>
  <si>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</si>
  <si>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</si>
  <si>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</si>
  <si>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</si>
  <si>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</si>
  <si>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</si>
  <si>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</si>
  <si>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</si>
  <si>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</si>
  <si>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</si>
  <si>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</si>
  <si>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</si>
  <si>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</si>
  <si>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</si>
  <si>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</si>
  <si>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</si>
  <si>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</si>
  <si>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</si>
  <si>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</si>
  <si>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Leverage Raw Beta</t>
  </si>
  <si>
    <t>Beta Weight</t>
  </si>
  <si>
    <t xml:space="preserve">Market Beta Weight </t>
  </si>
  <si>
    <t>Market Beta</t>
  </si>
  <si>
    <t>Adujested Beta</t>
  </si>
  <si>
    <t xml:space="preserve">Regression Beta - 2 Years Weekly  </t>
  </si>
  <si>
    <t>S.No.</t>
  </si>
  <si>
    <t>Name</t>
  </si>
  <si>
    <t>Debt / Eq</t>
  </si>
  <si>
    <t>Avenue Super.</t>
  </si>
  <si>
    <t>Trent</t>
  </si>
  <si>
    <t>Vedant Fashions</t>
  </si>
  <si>
    <t>Metro Brands</t>
  </si>
  <si>
    <t>Aditya Bir. Fas.</t>
  </si>
  <si>
    <t>CMP Rs.</t>
  </si>
  <si>
    <t xml:space="preserve">Mar Cap Rs.Cr. </t>
  </si>
  <si>
    <t>Debt Rs.Cr.</t>
  </si>
  <si>
    <t>Particular</t>
  </si>
  <si>
    <t>Year</t>
  </si>
  <si>
    <t>Annual</t>
  </si>
  <si>
    <t xml:space="preserve">Return on Markets </t>
  </si>
  <si>
    <t xml:space="preserve">Average Return </t>
  </si>
  <si>
    <t xml:space="preserve">Dividend Yield </t>
  </si>
  <si>
    <r>
      <t xml:space="preserve">1.36% </t>
    </r>
    <r>
      <rPr>
        <vertAlign val="superscript"/>
        <sz val="11"/>
        <color rgb="FF181818"/>
        <rFont val="Roboto"/>
      </rPr>
      <t>1</t>
    </r>
  </si>
  <si>
    <t xml:space="preserve">Toral Market Return </t>
  </si>
  <si>
    <t>Equity Capital</t>
  </si>
  <si>
    <t>Reserves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</si>
  <si>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</si>
  <si>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</si>
  <si>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</si>
  <si>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</si>
  <si>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</si>
  <si>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</si>
  <si>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</si>
  <si>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</si>
  <si>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</si>
  <si>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Total Liabilities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</si>
  <si>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</si>
  <si>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</si>
  <si>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</si>
  <si>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</si>
  <si>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</si>
  <si>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</si>
  <si>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</si>
  <si>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</si>
  <si>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</si>
  <si>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</si>
  <si>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</si>
  <si>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</si>
  <si>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</si>
  <si>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 -</t>
  </si>
  <si>
    <t>Inventories</t>
  </si>
  <si>
    <t>Trade receivables</t>
  </si>
  <si>
    <t>Cash Equivalents</t>
  </si>
  <si>
    <t>Short term loans</t>
  </si>
  <si>
    <t>Other asset items</t>
  </si>
  <si>
    <t>Total Assets</t>
  </si>
  <si>
    <t xml:space="preserve">Borrowings </t>
  </si>
  <si>
    <t xml:space="preserve">Net Block </t>
  </si>
  <si>
    <t>Calculation of ROIC</t>
  </si>
  <si>
    <t xml:space="preserve">Current assets </t>
  </si>
  <si>
    <t>#</t>
  </si>
  <si>
    <t xml:space="preserve">Total Current asssets </t>
  </si>
  <si>
    <t>Current Liabilities</t>
  </si>
  <si>
    <t>Net Working Capital</t>
  </si>
  <si>
    <t xml:space="preserve">Non Current Assets </t>
  </si>
  <si>
    <t xml:space="preserve">Gross Block </t>
  </si>
  <si>
    <t xml:space="preserve">Accumulated Depreciation </t>
  </si>
  <si>
    <t xml:space="preserve">Net Non Current Assets </t>
  </si>
  <si>
    <t xml:space="preserve">Invested Capital </t>
  </si>
  <si>
    <t>Total Current Liabilities</t>
  </si>
  <si>
    <t>EBIT</t>
  </si>
  <si>
    <t>COMPANY NAME</t>
  </si>
  <si>
    <t>MAHINDRA &amp; MAHINDRA LTD</t>
  </si>
  <si>
    <t/>
  </si>
  <si>
    <t>LATEST VERSION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</si>
  <si>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</si>
  <si>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</si>
  <si>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</si>
  <si>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</si>
  <si>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</si>
  <si>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</si>
  <si>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</si>
  <si>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</si>
  <si>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</si>
  <si>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</si>
  <si>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</si>
  <si>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</si>
  <si>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</si>
  <si>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</si>
  <si>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</si>
  <si>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</si>
  <si>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</si>
  <si>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</si>
  <si>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</si>
  <si>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</si>
  <si>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</si>
  <si>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</si>
  <si>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</si>
  <si>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</si>
  <si>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</si>
  <si>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</si>
  <si>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</si>
  <si>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</si>
  <si>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</si>
  <si>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Borrowings</t>
  </si>
  <si>
    <t>Other Liabilities</t>
  </si>
  <si>
    <t>Net Block</t>
  </si>
  <si>
    <t>Capital Work in Progress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</si>
  <si>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</si>
  <si>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</si>
  <si>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</si>
  <si>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</si>
  <si>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</si>
  <si>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</si>
  <si>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</si>
  <si>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</si>
  <si>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</si>
  <si>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</si>
  <si>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</si>
  <si>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</si>
  <si>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</si>
  <si>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</si>
  <si>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</si>
  <si>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</si>
  <si>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 xml:space="preserve">LTM </t>
  </si>
  <si>
    <t xml:space="preserve">Income Statement </t>
  </si>
  <si>
    <t>Sales Growth</t>
  </si>
  <si>
    <t>-</t>
  </si>
  <si>
    <t>COGS</t>
  </si>
  <si>
    <t>%COGS ON SALES</t>
  </si>
  <si>
    <t>Gross Profit</t>
  </si>
  <si>
    <t xml:space="preserve">Gross Margins </t>
  </si>
  <si>
    <t>S&amp;A Exp</t>
  </si>
  <si>
    <t>S&amp;G Exp% Sales</t>
  </si>
  <si>
    <t>EBITA</t>
  </si>
  <si>
    <t>EBITA%SALES</t>
  </si>
  <si>
    <t>Interest % sales</t>
  </si>
  <si>
    <t>Deperication</t>
  </si>
  <si>
    <t>Deperication % Sales</t>
  </si>
  <si>
    <t>EBT</t>
  </si>
  <si>
    <t>EBT%SALES</t>
  </si>
  <si>
    <t xml:space="preserve">Effective Tax rate </t>
  </si>
  <si>
    <t xml:space="preserve">Net Profit </t>
  </si>
  <si>
    <t xml:space="preserve">Net Margins </t>
  </si>
  <si>
    <t xml:space="preserve">No of Equity Shares </t>
  </si>
  <si>
    <t>EPS</t>
  </si>
  <si>
    <t>EPS Growth</t>
  </si>
  <si>
    <t xml:space="preserve">Dividing per share </t>
  </si>
  <si>
    <t>Dividend Payout Ratio</t>
  </si>
  <si>
    <t>Retained Earnings</t>
  </si>
  <si>
    <t>Balance Sheet</t>
  </si>
  <si>
    <t>Total Liabities</t>
  </si>
  <si>
    <t xml:space="preserve">Fixed Assets Net Block </t>
  </si>
  <si>
    <t xml:space="preserve">Total Non Current Assets </t>
  </si>
  <si>
    <t xml:space="preserve">Total current Assets </t>
  </si>
  <si>
    <t xml:space="preserve">Total Assets </t>
  </si>
  <si>
    <t xml:space="preserve">CHECK </t>
  </si>
  <si>
    <t xml:space="preserve">Cashflow Statement </t>
  </si>
  <si>
    <t>Operating Activities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</si>
  <si>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</si>
  <si>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</si>
  <si>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</si>
  <si>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</si>
  <si>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</si>
  <si>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</si>
  <si>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Operating Activity </t>
  </si>
  <si>
    <t>Investing Activities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</si>
  <si>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</si>
  <si>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</si>
  <si>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</si>
  <si>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</si>
  <si>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</si>
  <si>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</si>
  <si>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</si>
  <si>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</si>
  <si>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</si>
  <si>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</si>
  <si>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</si>
  <si>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</si>
  <si>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Investing Activity </t>
  </si>
  <si>
    <t>Financing  Activities</t>
  </si>
  <si>
    <t>Proceeds from shares</t>
  </si>
  <si>
    <t>Redemption of debentures</t>
  </si>
  <si>
    <t>Proceeds from borrowings</t>
  </si>
  <si>
    <t>Repayment of borrowings</t>
  </si>
  <si>
    <t>Proceeds from deposits</t>
  </si>
  <si>
    <t>Interest paid fin</t>
  </si>
  <si>
    <t>Dividends paid</t>
  </si>
  <si>
    <t>Financial liabilities</t>
  </si>
  <si>
    <t>Other financing items</t>
  </si>
  <si>
    <t>Cash from Financing Activity </t>
  </si>
  <si>
    <t>Net Cashflow</t>
  </si>
  <si>
    <t xml:space="preserve">Consolidated Cashflow Statement </t>
  </si>
  <si>
    <t xml:space="preserve">Cash from Operating Activity </t>
  </si>
  <si>
    <t xml:space="preserve">Cash from Investing Activity </t>
  </si>
  <si>
    <t xml:space="preserve">Cash from Financing Activity </t>
  </si>
  <si>
    <t>Cash from Operating Activity -</t>
  </si>
  <si>
    <t>Cash from Investing Activity -</t>
  </si>
  <si>
    <t>Cash from Financing Activity -</t>
  </si>
  <si>
    <t>ROIC</t>
  </si>
  <si>
    <t xml:space="preserve">Calculation of Revestment Rate </t>
  </si>
  <si>
    <t>Net Capex</t>
  </si>
  <si>
    <t>Net Cash Flow from financing Activity</t>
  </si>
  <si>
    <t>Net Cash Flow from Investing  Activity</t>
  </si>
  <si>
    <t xml:space="preserve">Particular </t>
  </si>
  <si>
    <t xml:space="preserve">Change in working Capital </t>
  </si>
  <si>
    <t xml:space="preserve">Marginal Tax </t>
  </si>
  <si>
    <t>Reinvestment</t>
  </si>
  <si>
    <t>EBIT(1-T)</t>
  </si>
  <si>
    <t xml:space="preserve">Reinvestment Rate </t>
  </si>
  <si>
    <t xml:space="preserve">4 Year Average </t>
  </si>
  <si>
    <t>4 Year Median</t>
  </si>
  <si>
    <t xml:space="preserve">Calculation of Growth Rate </t>
  </si>
  <si>
    <t>Reinvestment Rate</t>
  </si>
  <si>
    <t xml:space="preserve">Intrinsic Growth </t>
  </si>
  <si>
    <t>Ashok Leyland</t>
  </si>
  <si>
    <t>Tata Motors-DVR</t>
  </si>
  <si>
    <t>Olectra Greentec</t>
  </si>
  <si>
    <t>Force Motors</t>
  </si>
  <si>
    <t>SML ISUZU</t>
  </si>
  <si>
    <t>Tata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</si>
</sst>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5" formatCode="##,##0.0"/>
    <numFmt numFmtId="166" formatCode="dd\-mm\-yyyy"/>
    <numFmt numFmtId="167" formatCode="##,##0.0;\(#,##0.0\)"/>
    <numFmt numFmtId="168" formatCode="##,##0.0;\(#,##0.0\);\-"/>
    <numFmt numFmtId="169" formatCode="_ * #,##0.00_ ;_ * \-#,##0.00_ ;_ * &quot;-&quot;??_ ;_ @_ "/>
    <numFmt numFmtId="170" formatCode="[$-409]mmm\-yy;@"/>
    <numFmt numFmtId="171" formatCode="yyyy"/>
    <numFmt numFmtId="172" formatCode="[$₹-4009]\ #,##0.0;[$₹-4009]\ \-#,##0.0;\-"/>
    <numFmt numFmtId="173" formatCode="[$₹-4009]\ #,##0.00;[$₹-4009]\ \-#,##0.00"/>
    <numFmt numFmtId="174" formatCode="[$₹-4009]\ ##,##0.00;\([$₹-4009]\ ##,##0.00\);\-"/>
    <numFmt numFmtId="175" formatCode="##,##0.0;\(##,##0.0\);\-"/>
  </numFmts>
  <fonts count="2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i/>
      <sz val="10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rgb="FF3333FF"/>
      <name val="calibri"/>
      <family val="2"/>
    </font>
    <font>
      <sz val="11"/>
      <name val="calibri"/>
      <family val="2"/>
    </font>
    <font>
      <i/>
      <sz val="9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rgb="FF181818"/>
      <name val="Roboto"/>
    </font>
    <font>
      <vertAlign val="superscript"/>
      <sz val="11"/>
      <color rgb="FF181818"/>
      <name val="Roboto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 tint="-0.34998626667073579"/>
      <name val="Calibri"/>
      <family val="2"/>
    </font>
    <font>
      <b/>
      <sz val="11"/>
      <name val="Calibri"/>
      <family val="2"/>
    </font>
    <font>
      <b/>
      <sz val="11"/>
      <color rgb="FF22222F"/>
      <name val="Calibri"/>
      <family val="2"/>
      <scheme val="minor"/>
    </font>
    <font>
      <sz val="11"/>
      <color rgb="FF22222F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4" fillId="0" borderId="0"/>
  </cellStyleXfs>
  <cellXfs count="145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7" fillId="0" borderId="0" xfId="0" applyFont="1"/>
    <xf numFmtId="10" fontId="0" fillId="0" borderId="0" xfId="1" applyNumberFormat="1" applyFont="1"/>
    <xf numFmtId="10" fontId="0" fillId="3" borderId="0" xfId="1" applyNumberFormat="1" applyFont="1" applyFill="1"/>
    <xf numFmtId="2" fontId="0" fillId="0" borderId="0" xfId="0" applyNumberFormat="1"/>
    <xf numFmtId="10" fontId="7" fillId="0" borderId="0" xfId="1" applyNumberFormat="1" applyFont="1"/>
    <xf numFmtId="2" fontId="0" fillId="3" borderId="0" xfId="0" applyNumberFormat="1" applyFill="1"/>
    <xf numFmtId="10" fontId="0" fillId="0" borderId="1" xfId="0" applyNumberFormat="1" applyBorder="1"/>
    <xf numFmtId="10" fontId="0" fillId="0" borderId="2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3" xfId="0" applyBorder="1"/>
    <xf numFmtId="10" fontId="0" fillId="0" borderId="0" xfId="0" applyNumberFormat="1"/>
    <xf numFmtId="9" fontId="0" fillId="0" borderId="0" xfId="0" applyNumberFormat="1"/>
    <xf numFmtId="10" fontId="0" fillId="0" borderId="3" xfId="0" applyNumberFormat="1" applyBorder="1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10" fontId="0" fillId="0" borderId="3" xfId="1" applyNumberFormat="1" applyFont="1" applyBorder="1"/>
    <xf numFmtId="10" fontId="7" fillId="0" borderId="0" xfId="0" applyNumberFormat="1" applyFont="1"/>
    <xf numFmtId="10" fontId="8" fillId="0" borderId="0" xfId="0" applyNumberFormat="1" applyFont="1"/>
    <xf numFmtId="10" fontId="0" fillId="3" borderId="0" xfId="0" applyNumberFormat="1" applyFill="1"/>
    <xf numFmtId="10" fontId="0" fillId="3" borderId="3" xfId="0" applyNumberFormat="1" applyFill="1" applyBorder="1"/>
    <xf numFmtId="2" fontId="0" fillId="3" borderId="3" xfId="0" applyNumberFormat="1" applyFill="1" applyBorder="1"/>
    <xf numFmtId="10" fontId="0" fillId="3" borderId="3" xfId="1" applyNumberFormat="1" applyFont="1" applyFill="1" applyBorder="1"/>
    <xf numFmtId="165" fontId="0" fillId="0" borderId="3" xfId="0" applyNumberFormat="1" applyBorder="1"/>
    <xf numFmtId="10" fontId="0" fillId="0" borderId="0" xfId="0" applyNumberFormat="1" applyAlignment="1">
      <alignment horizontal="right"/>
    </xf>
    <xf numFmtId="9" fontId="7" fillId="0" borderId="0" xfId="0" applyNumberFormat="1" applyFont="1"/>
    <xf numFmtId="0" fontId="9" fillId="0" borderId="0" xfId="0" applyFont="1" applyAlignment="1">
      <alignment vertical="top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0" fontId="2" fillId="0" borderId="4" xfId="0" applyFont="1" applyBorder="1"/>
    <xf numFmtId="166" fontId="0" fillId="0" borderId="0" xfId="0" applyNumberFormat="1" applyAlignment="1">
      <alignment horizontal="left"/>
    </xf>
    <xf numFmtId="0" fontId="10" fillId="5" borderId="0" xfId="0" applyFont="1" applyFill="1" applyAlignment="1">
      <alignment vertic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0" fontId="10" fillId="5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0" fontId="0" fillId="3" borderId="0" xfId="1" applyNumberFormat="1" applyFont="1" applyFill="1" applyAlignment="1">
      <alignment horizontal="right"/>
    </xf>
    <xf numFmtId="2" fontId="0" fillId="3" borderId="0" xfId="1" applyNumberFormat="1" applyFont="1" applyFill="1" applyAlignment="1">
      <alignment horizontal="right"/>
    </xf>
    <xf numFmtId="0" fontId="0" fillId="5" borderId="0" xfId="0" applyFill="1"/>
    <xf numFmtId="10" fontId="7" fillId="0" borderId="0" xfId="1" applyNumberFormat="1" applyFont="1" applyAlignment="1">
      <alignment horizontal="right"/>
    </xf>
    <xf numFmtId="2" fontId="7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165" fontId="8" fillId="0" borderId="0" xfId="0" applyNumberFormat="1" applyFont="1"/>
    <xf numFmtId="2" fontId="7" fillId="0" borderId="0" xfId="0" applyNumberFormat="1" applyFont="1"/>
    <xf numFmtId="0" fontId="2" fillId="0" borderId="0" xfId="0" applyFont="1" applyAlignment="1">
      <alignment horizontal="center"/>
    </xf>
    <xf numFmtId="0" fontId="11" fillId="7" borderId="0" xfId="0" applyFont="1" applyFill="1"/>
    <xf numFmtId="0" fontId="10" fillId="7" borderId="0" xfId="0" applyFont="1" applyFill="1"/>
    <xf numFmtId="10" fontId="12" fillId="0" borderId="0" xfId="0" applyNumberFormat="1" applyFont="1"/>
    <xf numFmtId="0" fontId="2" fillId="8" borderId="0" xfId="0" applyFont="1" applyFill="1"/>
    <xf numFmtId="0" fontId="0" fillId="8" borderId="0" xfId="0" applyFill="1"/>
    <xf numFmtId="10" fontId="0" fillId="8" borderId="0" xfId="0" applyNumberFormat="1" applyFill="1"/>
    <xf numFmtId="17" fontId="0" fillId="0" borderId="0" xfId="0" applyNumberFormat="1"/>
    <xf numFmtId="3" fontId="0" fillId="0" borderId="0" xfId="0" applyNumberFormat="1"/>
    <xf numFmtId="0" fontId="11" fillId="9" borderId="0" xfId="0" applyFont="1" applyFill="1"/>
    <xf numFmtId="17" fontId="11" fillId="9" borderId="0" xfId="0" applyNumberFormat="1" applyFont="1" applyFill="1"/>
    <xf numFmtId="0" fontId="11" fillId="0" borderId="0" xfId="0" applyFont="1"/>
    <xf numFmtId="17" fontId="11" fillId="0" borderId="0" xfId="0" applyNumberFormat="1" applyFont="1"/>
    <xf numFmtId="3" fontId="2" fillId="0" borderId="0" xfId="0" applyNumberFormat="1" applyFont="1"/>
    <xf numFmtId="0" fontId="2" fillId="0" borderId="7" xfId="0" applyFont="1" applyBorder="1"/>
    <xf numFmtId="0" fontId="0" fillId="0" borderId="8" xfId="0" applyBorder="1"/>
    <xf numFmtId="167" fontId="0" fillId="0" borderId="8" xfId="0" applyNumberFormat="1" applyBorder="1"/>
    <xf numFmtId="167" fontId="2" fillId="0" borderId="7" xfId="0" applyNumberFormat="1" applyFont="1" applyBorder="1"/>
    <xf numFmtId="168" fontId="0" fillId="0" borderId="8" xfId="0" applyNumberFormat="1" applyBorder="1"/>
    <xf numFmtId="168" fontId="0" fillId="0" borderId="0" xfId="0" applyNumberFormat="1"/>
    <xf numFmtId="168" fontId="2" fillId="0" borderId="7" xfId="0" applyNumberFormat="1" applyFont="1" applyBorder="1"/>
    <xf numFmtId="168" fontId="0" fillId="0" borderId="2" xfId="0" applyNumberFormat="1" applyBorder="1"/>
    <xf numFmtId="168" fontId="0" fillId="0" borderId="1" xfId="0" applyNumberFormat="1" applyBorder="1"/>
    <xf numFmtId="168" fontId="2" fillId="0" borderId="1" xfId="0" applyNumberFormat="1" applyFont="1" applyBorder="1"/>
    <xf numFmtId="167" fontId="0" fillId="0" borderId="2" xfId="0" applyNumberFormat="1" applyBorder="1"/>
    <xf numFmtId="0" fontId="2" fillId="0" borderId="1" xfId="0" applyFont="1" applyBorder="1"/>
    <xf numFmtId="0" fontId="0" fillId="4" borderId="0" xfId="0" applyFill="1"/>
    <xf numFmtId="0" fontId="10" fillId="4" borderId="0" xfId="0" applyFont="1" applyFill="1"/>
    <xf numFmtId="17" fontId="10" fillId="4" borderId="0" xfId="0" applyNumberFormat="1" applyFont="1" applyFill="1"/>
    <xf numFmtId="0" fontId="2" fillId="0" borderId="9" xfId="0" applyFont="1" applyBorder="1"/>
    <xf numFmtId="0" fontId="0" fillId="0" borderId="9" xfId="0" applyBorder="1"/>
    <xf numFmtId="0" fontId="2" fillId="0" borderId="10" xfId="0" applyFont="1" applyBorder="1"/>
    <xf numFmtId="170" fontId="15" fillId="10" borderId="0" xfId="2" applyNumberFormat="1" applyFont="1" applyFill="1" applyBorder="1"/>
    <xf numFmtId="170" fontId="15" fillId="10" borderId="0" xfId="3" applyNumberFormat="1" applyFont="1" applyFill="1" applyAlignment="1">
      <alignment horizontal="center"/>
    </xf>
    <xf numFmtId="14" fontId="0" fillId="0" borderId="0" xfId="0" applyNumberFormat="1"/>
    <xf numFmtId="0" fontId="11" fillId="4" borderId="0" xfId="0" applyFont="1" applyFill="1"/>
    <xf numFmtId="171" fontId="11" fillId="4" borderId="0" xfId="0" applyNumberFormat="1" applyFont="1" applyFill="1"/>
    <xf numFmtId="171" fontId="11" fillId="4" borderId="0" xfId="0" applyNumberFormat="1" applyFont="1" applyFill="1" applyAlignment="1">
      <alignment horizontal="right"/>
    </xf>
    <xf numFmtId="171" fontId="11" fillId="0" borderId="0" xfId="0" applyNumberFormat="1" applyFont="1"/>
    <xf numFmtId="171" fontId="11" fillId="0" borderId="0" xfId="0" applyNumberFormat="1" applyFont="1" applyAlignment="1">
      <alignment horizontal="right"/>
    </xf>
    <xf numFmtId="0" fontId="2" fillId="6" borderId="0" xfId="0" applyFont="1" applyFill="1"/>
    <xf numFmtId="172" fontId="2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10" fontId="16" fillId="0" borderId="0" xfId="1" applyNumberFormat="1" applyFont="1"/>
    <xf numFmtId="0" fontId="2" fillId="0" borderId="11" xfId="0" applyFont="1" applyBorder="1"/>
    <xf numFmtId="173" fontId="2" fillId="0" borderId="11" xfId="0" applyNumberFormat="1" applyFont="1" applyBorder="1"/>
    <xf numFmtId="173" fontId="2" fillId="0" borderId="0" xfId="0" applyNumberFormat="1" applyFont="1"/>
    <xf numFmtId="174" fontId="2" fillId="0" borderId="11" xfId="0" applyNumberFormat="1" applyFont="1" applyBorder="1"/>
    <xf numFmtId="174" fontId="2" fillId="0" borderId="0" xfId="0" applyNumberFormat="1" applyFont="1"/>
    <xf numFmtId="174" fontId="0" fillId="0" borderId="0" xfId="0" applyNumberFormat="1"/>
    <xf numFmtId="0" fontId="8" fillId="0" borderId="0" xfId="0" applyFont="1"/>
    <xf numFmtId="0" fontId="17" fillId="0" borderId="0" xfId="0" applyFont="1"/>
    <xf numFmtId="10" fontId="17" fillId="0" borderId="0" xfId="1" applyNumberFormat="1" applyFont="1"/>
    <xf numFmtId="0" fontId="18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8" fillId="11" borderId="0" xfId="0" applyFont="1" applyFill="1" applyAlignment="1">
      <alignment horizontal="left" vertical="center" indent="1"/>
    </xf>
    <xf numFmtId="0" fontId="10" fillId="0" borderId="0" xfId="0" applyFont="1" applyAlignment="1">
      <alignment horizontal="center"/>
    </xf>
    <xf numFmtId="169" fontId="20" fillId="0" borderId="0" xfId="2" applyFont="1" applyBorder="1"/>
    <xf numFmtId="169" fontId="21" fillId="0" borderId="0" xfId="2" applyFont="1" applyBorder="1"/>
    <xf numFmtId="0" fontId="21" fillId="0" borderId="0" xfId="3" applyFont="1"/>
    <xf numFmtId="10" fontId="2" fillId="0" borderId="10" xfId="1" applyNumberFormat="1" applyFont="1" applyBorder="1"/>
    <xf numFmtId="3" fontId="0" fillId="0" borderId="1" xfId="0" applyNumberFormat="1" applyBorder="1"/>
    <xf numFmtId="3" fontId="2" fillId="0" borderId="12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8" xfId="0" applyFont="1" applyBorder="1"/>
    <xf numFmtId="175" fontId="0" fillId="0" borderId="8" xfId="0" applyNumberFormat="1" applyBorder="1"/>
    <xf numFmtId="175" fontId="0" fillId="0" borderId="1" xfId="0" applyNumberFormat="1" applyBorder="1"/>
    <xf numFmtId="175" fontId="0" fillId="0" borderId="9" xfId="0" applyNumberFormat="1" applyBorder="1"/>
    <xf numFmtId="175" fontId="0" fillId="0" borderId="0" xfId="0" applyNumberFormat="1"/>
    <xf numFmtId="175" fontId="2" fillId="0" borderId="9" xfId="0" applyNumberFormat="1" applyFont="1" applyBorder="1"/>
    <xf numFmtId="175" fontId="2" fillId="0" borderId="10" xfId="0" applyNumberFormat="1" applyFont="1" applyBorder="1"/>
    <xf numFmtId="175" fontId="2" fillId="0" borderId="0" xfId="0" applyNumberFormat="1" applyFont="1"/>
    <xf numFmtId="175" fontId="0" fillId="0" borderId="2" xfId="0" applyNumberFormat="1" applyBorder="1"/>
    <xf numFmtId="10" fontId="0" fillId="0" borderId="8" xfId="0" applyNumberFormat="1" applyBorder="1"/>
    <xf numFmtId="10" fontId="2" fillId="0" borderId="13" xfId="0" applyNumberFormat="1" applyFont="1" applyBorder="1"/>
    <xf numFmtId="0" fontId="2" fillId="0" borderId="14" xfId="0" applyFont="1" applyBorder="1" applyAlignment="1">
      <alignment horizontal="right"/>
    </xf>
    <xf numFmtId="10" fontId="2" fillId="0" borderId="15" xfId="0" applyNumberFormat="1" applyFont="1" applyBorder="1"/>
    <xf numFmtId="0" fontId="2" fillId="0" borderId="16" xfId="0" applyFont="1" applyBorder="1" applyAlignment="1">
      <alignment horizontal="right"/>
    </xf>
    <xf numFmtId="10" fontId="2" fillId="0" borderId="17" xfId="0" applyNumberFormat="1" applyFont="1" applyBorder="1"/>
    <xf numFmtId="0" fontId="2" fillId="0" borderId="18" xfId="0" applyFont="1" applyBorder="1"/>
    <xf numFmtId="10" fontId="2" fillId="0" borderId="18" xfId="1" applyNumberFormat="1" applyFont="1" applyBorder="1"/>
    <xf numFmtId="175" fontId="2" fillId="0" borderId="2" xfId="0" applyNumberFormat="1" applyFont="1" applyBorder="1"/>
    <xf numFmtId="175" fontId="17" fillId="0" borderId="2" xfId="0" applyNumberFormat="1" applyFont="1" applyBorder="1"/>
    <xf numFmtId="10" fontId="7" fillId="0" borderId="2" xfId="0" applyNumberFormat="1" applyFont="1" applyBorder="1"/>
    <xf numFmtId="0" fontId="10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</cellXfs>
  <cellStyles count="4">
    <cellStyle name="Comma 2" xfId="2" xr:uid="{E3EA5CED-7E92-4903-A749-08FA6F392F78}"/>
    <cellStyle name="Normal" xfId="0" builtinId="0"/>
    <cellStyle name="Normal 3" xfId="3" xr:uid="{14549E61-BBDB-48EF-B19D-1953A4784BB4}"/>
    <cellStyle name="Percent" xfId="1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shd\Desktop\yashdeep\FM\Tata%20Motors.xlsx" TargetMode="External"/><Relationship Id="rId1" Type="http://schemas.openxmlformats.org/officeDocument/2006/relationships/externalLinkPath" Target="/Users/yashd/Desktop/yashdeep/FM/FM/Tata%20Mo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seflow%20Statement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/>
      <sheetData sheetId="1"/>
      <sheetData sheetId="2" refreshError="1"/>
      <sheetData sheetId="3" refreshError="1"/>
      <sheetData sheetId="4" refreshError="1"/>
      <sheetData sheetId="5">
        <row r="1">
          <cell r="E1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low Statement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3471-8906-4456-8CEF-D83605ED8091}">
  <sheetPr>
    <tabColor theme="4" tint="-0.49998474074526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7C85-E203-4C31-ABEA-286D05F71000}">
  <dimension ref="B2:G12"/>
  <sheetViews>
    <sheetView tabSelected="1" workbookViewId="0">
      <selection activeCell="E11" sqref="E11"/>
    </sheetView>
  </sheetViews>
  <sheetFormatPr defaultRowHeight="14.4" x14ac:dyDescent="0.3"/>
  <cols>
    <col min="1" max="1" width="1.88671875" customWidth="1"/>
    <col min="2" max="2" width="5.6640625" bestFit="1" customWidth="1"/>
    <col min="3" max="3" width="15.33203125" bestFit="1" customWidth="1"/>
    <col min="4" max="4" width="8.109375" bestFit="1" customWidth="1"/>
    <col min="5" max="5" width="14.33203125" bestFit="1" customWidth="1"/>
    <col min="6" max="6" width="10.6640625" bestFit="1" customWidth="1"/>
    <col min="12" max="12" width="5.6640625" bestFit="1" customWidth="1"/>
    <col min="13" max="13" width="16.109375" bestFit="1" customWidth="1"/>
    <col min="14" max="14" width="8" bestFit="1" customWidth="1"/>
    <col min="15" max="15" width="14.109375" bestFit="1" customWidth="1"/>
    <col min="16" max="16" width="10.6640625" bestFit="1" customWidth="1"/>
  </cols>
  <sheetData>
    <row r="2" spans="2:7" x14ac:dyDescent="0.3">
      <c r="B2" s="52" t="s">
        <v>86</v>
      </c>
      <c r="C2" s="52" t="s">
        <v>87</v>
      </c>
      <c r="D2" s="52" t="s">
        <v>94</v>
      </c>
      <c r="E2" s="52" t="s">
        <v>95</v>
      </c>
      <c r="F2" s="52" t="s">
        <v>96</v>
      </c>
      <c r="G2" s="52" t="s">
        <v>88</v>
      </c>
    </row>
    <row r="3" spans="2:7" x14ac:dyDescent="0.3">
      <c r="B3" s="45">
        <v>1</v>
      </c>
      <c r="C3" s="51" t="s">
        <v>296</v>
      </c>
      <c r="D3">
        <v>175.25</v>
      </c>
      <c r="E3">
        <v>51470.400000000001</v>
      </c>
      <c r="F3">
        <v>34391.620000000003</v>
      </c>
      <c r="G3">
        <v>3.87</v>
      </c>
    </row>
    <row r="4" spans="2:7" x14ac:dyDescent="0.3">
      <c r="B4" s="45">
        <v>2</v>
      </c>
      <c r="C4" s="51" t="s">
        <v>297</v>
      </c>
      <c r="D4">
        <v>489.6</v>
      </c>
      <c r="E4">
        <v>24901.360000000001</v>
      </c>
      <c r="F4">
        <v>121001.62</v>
      </c>
      <c r="G4">
        <v>2.19</v>
      </c>
    </row>
    <row r="5" spans="2:7" x14ac:dyDescent="0.3">
      <c r="B5" s="45">
        <v>3</v>
      </c>
      <c r="C5" s="51" t="s">
        <v>298</v>
      </c>
      <c r="D5">
        <v>1294.75</v>
      </c>
      <c r="E5">
        <v>10609.59</v>
      </c>
      <c r="F5">
        <v>130.94</v>
      </c>
      <c r="G5">
        <v>0.15</v>
      </c>
    </row>
    <row r="6" spans="2:7" x14ac:dyDescent="0.3">
      <c r="B6" s="45">
        <v>4</v>
      </c>
      <c r="C6" s="51" t="s">
        <v>299</v>
      </c>
      <c r="D6">
        <v>3571</v>
      </c>
      <c r="E6">
        <v>4706.58</v>
      </c>
      <c r="F6">
        <v>727.83</v>
      </c>
      <c r="G6">
        <v>0.36</v>
      </c>
    </row>
    <row r="7" spans="2:7" x14ac:dyDescent="0.3">
      <c r="B7" s="45">
        <v>5</v>
      </c>
      <c r="C7" s="51" t="s">
        <v>300</v>
      </c>
      <c r="D7">
        <v>1377.15</v>
      </c>
      <c r="E7">
        <v>1992.09</v>
      </c>
      <c r="F7">
        <v>255.07</v>
      </c>
      <c r="G7">
        <v>1.1100000000000001</v>
      </c>
    </row>
    <row r="8" spans="2:7" x14ac:dyDescent="0.3">
      <c r="B8" s="45">
        <v>6</v>
      </c>
      <c r="C8" s="51" t="s">
        <v>301</v>
      </c>
      <c r="D8">
        <v>730.6</v>
      </c>
      <c r="E8">
        <v>267727.38</v>
      </c>
      <c r="F8">
        <v>127864.3</v>
      </c>
      <c r="G8">
        <v>2.38</v>
      </c>
    </row>
    <row r="9" spans="2:7" x14ac:dyDescent="0.3">
      <c r="B9" s="45"/>
      <c r="C9" s="51"/>
    </row>
    <row r="10" spans="2:7" x14ac:dyDescent="0.3">
      <c r="B10" s="45"/>
      <c r="C10" s="51"/>
    </row>
    <row r="11" spans="2:7" x14ac:dyDescent="0.3">
      <c r="B11" s="45"/>
      <c r="C11" s="51"/>
    </row>
    <row r="12" spans="2:7" x14ac:dyDescent="0.3">
      <c r="B12" s="45"/>
      <c r="C12" s="5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53F1-4014-4432-95C7-CDCC388BF686}">
  <dimension ref="B2:G27"/>
  <sheetViews>
    <sheetView showGridLines="0" workbookViewId="0">
      <selection activeCell="G1" sqref="G1"/>
    </sheetView>
  </sheetViews>
  <sheetFormatPr defaultRowHeight="14.4" x14ac:dyDescent="0.3"/>
  <cols>
    <col min="1" max="1" width="1.88671875" customWidth="1"/>
  </cols>
  <sheetData>
    <row r="2" spans="2:7" x14ac:dyDescent="0.3">
      <c r="B2" s="56" t="s">
        <v>100</v>
      </c>
      <c r="C2" s="57"/>
      <c r="D2" s="57"/>
      <c r="E2" s="57"/>
      <c r="F2" s="57"/>
      <c r="G2" s="57"/>
    </row>
    <row r="3" spans="2:7" x14ac:dyDescent="0.3">
      <c r="B3" s="55" t="s">
        <v>98</v>
      </c>
      <c r="C3" s="55" t="s">
        <v>99</v>
      </c>
    </row>
    <row r="4" spans="2:7" x14ac:dyDescent="0.3">
      <c r="B4" s="45">
        <v>2000</v>
      </c>
      <c r="C4" s="8">
        <v>-0.14649999999999999</v>
      </c>
      <c r="E4" s="22" t="s">
        <v>101</v>
      </c>
      <c r="G4" s="19">
        <f>AVERAGE(C4:C26)</f>
        <v>0.15411739130434784</v>
      </c>
    </row>
    <row r="5" spans="2:7" ht="16.2" x14ac:dyDescent="0.3">
      <c r="B5" s="45">
        <v>2001</v>
      </c>
      <c r="C5" s="8">
        <v>-0.1618</v>
      </c>
      <c r="E5" s="22" t="s">
        <v>102</v>
      </c>
      <c r="G5" s="58" t="s">
        <v>103</v>
      </c>
    </row>
    <row r="6" spans="2:7" x14ac:dyDescent="0.3">
      <c r="B6" s="45">
        <v>2002</v>
      </c>
      <c r="C6" s="8">
        <v>3.2500000000000001E-2</v>
      </c>
      <c r="E6" s="59" t="s">
        <v>104</v>
      </c>
      <c r="F6" s="60"/>
      <c r="G6" s="61">
        <f>SUM(G4:G5)</f>
        <v>0.15411739130434784</v>
      </c>
    </row>
    <row r="7" spans="2:7" x14ac:dyDescent="0.3">
      <c r="B7" s="45">
        <v>2003</v>
      </c>
      <c r="C7" s="8">
        <v>0.71900000000000008</v>
      </c>
    </row>
    <row r="8" spans="2:7" x14ac:dyDescent="0.3">
      <c r="B8" s="45">
        <v>2004</v>
      </c>
      <c r="C8" s="8">
        <v>0.10679999999999999</v>
      </c>
    </row>
    <row r="9" spans="2:7" x14ac:dyDescent="0.3">
      <c r="B9" s="45">
        <v>2005</v>
      </c>
      <c r="C9" s="8">
        <v>0.36340000000000006</v>
      </c>
    </row>
    <row r="10" spans="2:7" x14ac:dyDescent="0.3">
      <c r="B10" s="45">
        <v>2006</v>
      </c>
      <c r="C10" s="8">
        <v>0.39829999999999999</v>
      </c>
    </row>
    <row r="11" spans="2:7" x14ac:dyDescent="0.3">
      <c r="B11" s="45">
        <v>2007</v>
      </c>
      <c r="C11" s="8">
        <v>0.54770000000000008</v>
      </c>
    </row>
    <row r="12" spans="2:7" x14ac:dyDescent="0.3">
      <c r="B12" s="45">
        <v>2008</v>
      </c>
      <c r="C12" s="8">
        <v>-0.51790000000000003</v>
      </c>
    </row>
    <row r="13" spans="2:7" x14ac:dyDescent="0.3">
      <c r="B13" s="45">
        <v>2009</v>
      </c>
      <c r="C13" s="8">
        <v>0.75760000000000005</v>
      </c>
    </row>
    <row r="14" spans="2:7" x14ac:dyDescent="0.3">
      <c r="B14" s="45">
        <v>2010</v>
      </c>
      <c r="C14" s="8">
        <v>0.17949999999999999</v>
      </c>
    </row>
    <row r="15" spans="2:7" x14ac:dyDescent="0.3">
      <c r="B15" s="45">
        <v>2011</v>
      </c>
      <c r="C15" s="8">
        <v>-0.2462</v>
      </c>
    </row>
    <row r="16" spans="2:7" x14ac:dyDescent="0.3">
      <c r="B16" s="45">
        <v>2012</v>
      </c>
      <c r="C16" s="8">
        <v>0.27699999999999997</v>
      </c>
    </row>
    <row r="17" spans="2:3" x14ac:dyDescent="0.3">
      <c r="B17" s="45">
        <v>2013</v>
      </c>
      <c r="C17" s="8">
        <v>6.7599999999999993E-2</v>
      </c>
    </row>
    <row r="18" spans="2:3" x14ac:dyDescent="0.3">
      <c r="B18" s="45">
        <v>2014</v>
      </c>
      <c r="C18" s="8">
        <v>0.31390000000000001</v>
      </c>
    </row>
    <row r="19" spans="2:3" x14ac:dyDescent="0.3">
      <c r="B19" s="45">
        <v>2015</v>
      </c>
      <c r="C19" s="8">
        <v>-4.0599999999999997E-2</v>
      </c>
    </row>
    <row r="20" spans="2:3" x14ac:dyDescent="0.3">
      <c r="B20" s="45">
        <v>2016</v>
      </c>
      <c r="C20" s="8">
        <v>3.0099999999999998E-2</v>
      </c>
    </row>
    <row r="21" spans="2:3" x14ac:dyDescent="0.3">
      <c r="B21" s="45">
        <v>2017</v>
      </c>
      <c r="C21" s="8">
        <v>0.28649999999999998</v>
      </c>
    </row>
    <row r="22" spans="2:3" x14ac:dyDescent="0.3">
      <c r="B22" s="45">
        <v>2018</v>
      </c>
      <c r="C22" s="8">
        <v>3.15E-2</v>
      </c>
    </row>
    <row r="23" spans="2:3" x14ac:dyDescent="0.3">
      <c r="B23" s="45">
        <v>2019</v>
      </c>
      <c r="C23" s="8">
        <v>0.1202</v>
      </c>
    </row>
    <row r="24" spans="2:3" x14ac:dyDescent="0.3">
      <c r="B24" s="45">
        <v>2020</v>
      </c>
      <c r="C24" s="8">
        <v>0.14169999999999999</v>
      </c>
    </row>
    <row r="25" spans="2:3" x14ac:dyDescent="0.3">
      <c r="B25" s="45">
        <v>2021</v>
      </c>
      <c r="C25" s="8">
        <v>0.2412</v>
      </c>
    </row>
    <row r="26" spans="2:3" x14ac:dyDescent="0.3">
      <c r="B26" s="45">
        <v>2022</v>
      </c>
      <c r="C26" s="8">
        <v>4.3200000000000002E-2</v>
      </c>
    </row>
    <row r="27" spans="2:3" x14ac:dyDescent="0.3">
      <c r="B27" s="45"/>
      <c r="C2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4476-B394-489D-A16F-6A8B08657716}">
  <dimension ref="B4:P43"/>
  <sheetViews>
    <sheetView showGridLines="0" zoomScaleNormal="100" workbookViewId="0">
      <selection activeCell="L3" sqref="L3"/>
    </sheetView>
  </sheetViews>
  <sheetFormatPr defaultRowHeight="14.4" x14ac:dyDescent="0.3"/>
  <cols>
    <col min="1" max="1" width="1.88671875" customWidth="1"/>
    <col min="2" max="2" width="21.5546875" bestFit="1" customWidth="1"/>
    <col min="3" max="3" width="9.109375" bestFit="1" customWidth="1"/>
    <col min="4" max="5" width="10.109375" bestFit="1" customWidth="1"/>
    <col min="6" max="6" width="9.109375" bestFit="1" customWidth="1"/>
    <col min="10" max="10" width="9.6640625" bestFit="1" customWidth="1"/>
    <col min="11" max="11" width="12" bestFit="1" customWidth="1"/>
    <col min="12" max="12" width="4.6640625" customWidth="1"/>
  </cols>
  <sheetData>
    <row r="4" spans="2:12" ht="18" x14ac:dyDescent="0.35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48"/>
    </row>
    <row r="5" spans="2:12" x14ac:dyDescent="0.3">
      <c r="B5" s="4" t="s">
        <v>1</v>
      </c>
    </row>
    <row r="7" spans="2:12" x14ac:dyDescent="0.3">
      <c r="B7" t="s">
        <v>2</v>
      </c>
    </row>
    <row r="8" spans="2:12" x14ac:dyDescent="0.3">
      <c r="B8" s="5"/>
      <c r="C8" s="5"/>
      <c r="D8" s="5"/>
      <c r="E8" s="5"/>
      <c r="F8" s="5"/>
      <c r="G8" s="5"/>
      <c r="H8" s="5" t="s">
        <v>12</v>
      </c>
      <c r="I8" s="5" t="s">
        <v>10</v>
      </c>
      <c r="J8" s="5" t="s">
        <v>13</v>
      </c>
      <c r="K8" s="5" t="s">
        <v>16</v>
      </c>
    </row>
    <row r="9" spans="2:12" ht="16.2" x14ac:dyDescent="0.3">
      <c r="B9" s="6" t="s">
        <v>3</v>
      </c>
      <c r="C9" s="6"/>
      <c r="D9" s="6" t="s">
        <v>4</v>
      </c>
      <c r="E9" s="6" t="s">
        <v>5</v>
      </c>
      <c r="F9" s="6" t="s">
        <v>6</v>
      </c>
      <c r="G9" s="6" t="s">
        <v>8</v>
      </c>
      <c r="H9" s="6" t="s">
        <v>9</v>
      </c>
      <c r="I9" s="6" t="s">
        <v>11</v>
      </c>
      <c r="J9" s="6" t="s">
        <v>14</v>
      </c>
      <c r="K9" s="6" t="s">
        <v>15</v>
      </c>
    </row>
    <row r="11" spans="2:12" x14ac:dyDescent="0.3">
      <c r="B11" s="7" t="s">
        <v>89</v>
      </c>
      <c r="C11" s="7"/>
      <c r="D11" s="7" t="s">
        <v>17</v>
      </c>
      <c r="E11" s="53">
        <f>'Beta -Comps'!F3</f>
        <v>34391.620000000003</v>
      </c>
      <c r="F11" s="53">
        <f>'Beta -Comps'!E3</f>
        <v>51470.400000000001</v>
      </c>
      <c r="G11" s="11">
        <v>0.3</v>
      </c>
      <c r="H11" s="9">
        <f>E11/F11</f>
        <v>0.66818248935310398</v>
      </c>
      <c r="I11" s="9">
        <f>E11/SUM(E11:F11)</f>
        <v>0.40054520031091745</v>
      </c>
      <c r="J11" s="54">
        <f>'Beta Regression '!J6</f>
        <v>1.2432494364445994</v>
      </c>
      <c r="K11" s="12">
        <f>J11/(1+(1-G11)*H11)</f>
        <v>0.84705725755854311</v>
      </c>
    </row>
    <row r="12" spans="2:12" x14ac:dyDescent="0.3">
      <c r="B12" s="7" t="s">
        <v>90</v>
      </c>
      <c r="C12" s="7"/>
      <c r="D12" s="7" t="s">
        <v>17</v>
      </c>
      <c r="E12" s="53">
        <f>'Beta -Comps'!F4</f>
        <v>121001.62</v>
      </c>
      <c r="F12" s="53">
        <f>'Beta -Comps'!E4</f>
        <v>24901.360000000001</v>
      </c>
      <c r="G12" s="11">
        <v>0.3</v>
      </c>
      <c r="H12" s="9">
        <f t="shared" ref="H12:H15" si="0">E12/F12</f>
        <v>4.8592374071135067</v>
      </c>
      <c r="I12" s="9">
        <f t="shared" ref="I12:I15" si="1">E12/SUM(E12:F12)</f>
        <v>0.82932932555592775</v>
      </c>
      <c r="J12" s="54" t="e">
        <f>#REF!</f>
        <v>#REF!</v>
      </c>
      <c r="K12" s="12" t="e">
        <f t="shared" ref="K12:K15" si="2">J12/(1+(1-G12)*H12)</f>
        <v>#REF!</v>
      </c>
    </row>
    <row r="13" spans="2:12" x14ac:dyDescent="0.3">
      <c r="B13" s="7" t="s">
        <v>91</v>
      </c>
      <c r="C13" s="7"/>
      <c r="D13" s="7" t="s">
        <v>17</v>
      </c>
      <c r="E13" s="53">
        <f>'Beta -Comps'!F5</f>
        <v>130.94</v>
      </c>
      <c r="F13" s="53">
        <f>'Beta -Comps'!E5</f>
        <v>10609.59</v>
      </c>
      <c r="G13" s="11">
        <v>0.3</v>
      </c>
      <c r="H13" s="9">
        <f t="shared" si="0"/>
        <v>1.2341664475253049E-2</v>
      </c>
      <c r="I13" s="9">
        <f t="shared" si="1"/>
        <v>1.2191204717085655E-2</v>
      </c>
      <c r="J13" s="54" t="e">
        <f>#REF!</f>
        <v>#REF!</v>
      </c>
      <c r="K13" s="12" t="e">
        <f t="shared" si="2"/>
        <v>#REF!</v>
      </c>
    </row>
    <row r="14" spans="2:12" x14ac:dyDescent="0.3">
      <c r="B14" s="7" t="s">
        <v>92</v>
      </c>
      <c r="C14" s="7"/>
      <c r="D14" s="7" t="s">
        <v>17</v>
      </c>
      <c r="E14" s="53">
        <f>'Beta -Comps'!F6</f>
        <v>727.83</v>
      </c>
      <c r="F14" s="53">
        <f>'Beta -Comps'!E6</f>
        <v>4706.58</v>
      </c>
      <c r="G14" s="11">
        <v>0.3</v>
      </c>
      <c r="H14" s="9">
        <f t="shared" si="0"/>
        <v>0.1546409494792397</v>
      </c>
      <c r="I14" s="9">
        <f t="shared" si="1"/>
        <v>0.13392990223409718</v>
      </c>
      <c r="J14" s="54" t="e">
        <f>#REF!</f>
        <v>#REF!</v>
      </c>
      <c r="K14" s="12" t="e">
        <f t="shared" si="2"/>
        <v>#REF!</v>
      </c>
    </row>
    <row r="15" spans="2:12" x14ac:dyDescent="0.3">
      <c r="B15" s="7" t="s">
        <v>93</v>
      </c>
      <c r="C15" s="7"/>
      <c r="D15" s="7" t="s">
        <v>17</v>
      </c>
      <c r="E15" s="53">
        <f>'Beta -Comps'!F7</f>
        <v>255.07</v>
      </c>
      <c r="F15" s="53">
        <f>'Beta -Comps'!E7</f>
        <v>1992.09</v>
      </c>
      <c r="G15" s="11">
        <v>0.3</v>
      </c>
      <c r="H15" s="9">
        <f t="shared" si="0"/>
        <v>0.12804140375183853</v>
      </c>
      <c r="I15" s="9">
        <f t="shared" si="1"/>
        <v>0.11350771640648641</v>
      </c>
      <c r="J15" s="54" t="e">
        <f>#REF!</f>
        <v>#REF!</v>
      </c>
      <c r="K15" s="12" t="e">
        <f t="shared" si="2"/>
        <v>#REF!</v>
      </c>
    </row>
    <row r="17" spans="2:11" x14ac:dyDescent="0.3">
      <c r="F17" s="5" t="s">
        <v>18</v>
      </c>
      <c r="G17" s="13">
        <f>AVERAGE(G11:G15)</f>
        <v>0.3</v>
      </c>
      <c r="H17" s="13">
        <f t="shared" ref="H17:J17" si="3">AVERAGE(H11:H15)</f>
        <v>1.1644887828345882</v>
      </c>
      <c r="I17" s="13">
        <f t="shared" si="3"/>
        <v>0.29790066984490288</v>
      </c>
      <c r="J17" s="15" t="e">
        <f t="shared" si="3"/>
        <v>#REF!</v>
      </c>
      <c r="K17" s="15" t="e">
        <f>AVERAGE(K11:K15)</f>
        <v>#REF!</v>
      </c>
    </row>
    <row r="18" spans="2:11" x14ac:dyDescent="0.3">
      <c r="F18" s="6" t="s">
        <v>19</v>
      </c>
      <c r="G18" s="14">
        <f>MEDIAN(G11:G15)</f>
        <v>0.3</v>
      </c>
      <c r="H18" s="14">
        <f t="shared" ref="H18:K18" si="4">MEDIAN(H11:H15)</f>
        <v>0.1546409494792397</v>
      </c>
      <c r="I18" s="14">
        <f t="shared" si="4"/>
        <v>0.13392990223409718</v>
      </c>
      <c r="J18" s="16" t="e">
        <f t="shared" si="4"/>
        <v>#REF!</v>
      </c>
      <c r="K18" s="16" t="e">
        <f t="shared" si="4"/>
        <v>#REF!</v>
      </c>
    </row>
    <row r="21" spans="2:11" x14ac:dyDescent="0.3">
      <c r="B21" s="17" t="s">
        <v>20</v>
      </c>
      <c r="C21" s="6"/>
      <c r="D21" s="6"/>
      <c r="E21" s="6"/>
      <c r="G21" s="17" t="s">
        <v>23</v>
      </c>
      <c r="H21" s="6"/>
      <c r="I21" s="6"/>
      <c r="J21" s="6"/>
      <c r="K21" s="6"/>
    </row>
    <row r="23" spans="2:11" x14ac:dyDescent="0.3">
      <c r="B23" t="s">
        <v>21</v>
      </c>
      <c r="E23" s="25">
        <v>8.4000000000000005E-2</v>
      </c>
      <c r="G23" t="s">
        <v>24</v>
      </c>
      <c r="K23" s="25">
        <v>7.3899999999999993E-2</v>
      </c>
    </row>
    <row r="24" spans="2:11" x14ac:dyDescent="0.3">
      <c r="B24" t="s">
        <v>7</v>
      </c>
      <c r="E24" s="33">
        <v>0.3</v>
      </c>
      <c r="G24" t="s">
        <v>25</v>
      </c>
      <c r="K24" s="25">
        <v>0.08</v>
      </c>
    </row>
    <row r="25" spans="2:11" ht="16.2" x14ac:dyDescent="0.3">
      <c r="B25" s="18" t="s">
        <v>22</v>
      </c>
      <c r="C25" s="18"/>
      <c r="D25" s="18"/>
      <c r="E25" s="21">
        <f>E23*(1-E24)</f>
        <v>5.8799999999999998E-2</v>
      </c>
      <c r="G25" t="s">
        <v>26</v>
      </c>
      <c r="K25" s="10" t="e">
        <f>K34</f>
        <v>#REF!</v>
      </c>
    </row>
    <row r="26" spans="2:11" x14ac:dyDescent="0.3">
      <c r="G26" s="18" t="s">
        <v>23</v>
      </c>
      <c r="H26" s="18"/>
      <c r="I26" s="18"/>
      <c r="J26" s="18"/>
      <c r="K26" s="28" t="e">
        <f>K23+K24*K25</f>
        <v>#REF!</v>
      </c>
    </row>
    <row r="29" spans="2:11" x14ac:dyDescent="0.3">
      <c r="B29" s="17" t="s">
        <v>27</v>
      </c>
      <c r="C29" s="6"/>
      <c r="D29" s="6"/>
      <c r="E29" s="6"/>
      <c r="G29" s="17" t="s">
        <v>32</v>
      </c>
      <c r="H29" s="6"/>
      <c r="I29" s="6"/>
      <c r="J29" s="6"/>
      <c r="K29" s="6"/>
    </row>
    <row r="31" spans="2:11" x14ac:dyDescent="0.3">
      <c r="D31" s="23" t="s">
        <v>28</v>
      </c>
      <c r="E31" s="23" t="s">
        <v>29</v>
      </c>
      <c r="G31" t="s">
        <v>33</v>
      </c>
      <c r="K31" s="10" t="e">
        <f>K18</f>
        <v>#REF!</v>
      </c>
    </row>
    <row r="32" spans="2:11" x14ac:dyDescent="0.3">
      <c r="B32" t="s">
        <v>5</v>
      </c>
      <c r="C32" s="53">
        <f>E11</f>
        <v>34391.620000000003</v>
      </c>
      <c r="D32" s="8">
        <f>C32/$C$34</f>
        <v>0.40054520031091745</v>
      </c>
      <c r="E32" s="26">
        <f>H17</f>
        <v>1.1644887828345882</v>
      </c>
      <c r="G32" t="s">
        <v>34</v>
      </c>
      <c r="K32" s="19">
        <f>E37</f>
        <v>-7.0794419094559853</v>
      </c>
    </row>
    <row r="33" spans="2:16" x14ac:dyDescent="0.3">
      <c r="B33" t="s">
        <v>30</v>
      </c>
      <c r="C33" s="53">
        <f>F11</f>
        <v>51470.400000000001</v>
      </c>
      <c r="D33" s="8">
        <f>C33/$C$34</f>
        <v>0.59945479968908255</v>
      </c>
      <c r="E33" s="26">
        <f>E34-E32</f>
        <v>-0.16448878283458823</v>
      </c>
      <c r="G33" t="s">
        <v>35</v>
      </c>
      <c r="K33" s="20">
        <f>E24</f>
        <v>0.3</v>
      </c>
    </row>
    <row r="34" spans="2:16" x14ac:dyDescent="0.3">
      <c r="B34" s="18" t="s">
        <v>31</v>
      </c>
      <c r="C34" s="31">
        <f>SUM(C32:C33)</f>
        <v>85862.02</v>
      </c>
      <c r="D34" s="24">
        <f>SUM(D32:D33)</f>
        <v>1</v>
      </c>
      <c r="E34" s="21">
        <f>D34</f>
        <v>1</v>
      </c>
      <c r="G34" s="18" t="s">
        <v>32</v>
      </c>
      <c r="H34" s="18"/>
      <c r="I34" s="18"/>
      <c r="J34" s="18"/>
      <c r="K34" s="29" t="e">
        <f>K31*(1+(1-K33)*K32)</f>
        <v>#REF!</v>
      </c>
    </row>
    <row r="36" spans="2:16" x14ac:dyDescent="0.3">
      <c r="P36" t="s">
        <v>41</v>
      </c>
    </row>
    <row r="37" spans="2:16" x14ac:dyDescent="0.3">
      <c r="B37" t="s">
        <v>36</v>
      </c>
      <c r="D37" s="27">
        <f>D32/D33</f>
        <v>0.66818248935310398</v>
      </c>
      <c r="E37" s="27">
        <f>E32/E33</f>
        <v>-7.0794419094559853</v>
      </c>
      <c r="G37" s="17" t="s">
        <v>37</v>
      </c>
      <c r="H37" s="6"/>
      <c r="I37" s="6"/>
      <c r="J37" s="6"/>
      <c r="K37" s="6"/>
    </row>
    <row r="39" spans="2:16" x14ac:dyDescent="0.3">
      <c r="B39" s="3" t="s">
        <v>42</v>
      </c>
      <c r="J39" s="22" t="s">
        <v>39</v>
      </c>
      <c r="K39" s="22" t="s">
        <v>40</v>
      </c>
    </row>
    <row r="40" spans="2:16" x14ac:dyDescent="0.3">
      <c r="B40" s="34" t="s">
        <v>43</v>
      </c>
      <c r="G40" t="s">
        <v>38</v>
      </c>
      <c r="J40" s="19">
        <f>E25</f>
        <v>5.8799999999999998E-2</v>
      </c>
      <c r="K40" s="19">
        <f>E32</f>
        <v>1.1644887828345882</v>
      </c>
    </row>
    <row r="41" spans="2:16" x14ac:dyDescent="0.3">
      <c r="B41" s="34" t="s">
        <v>44</v>
      </c>
      <c r="G41" t="s">
        <v>9</v>
      </c>
      <c r="J41" s="32" t="e">
        <f>K26</f>
        <v>#REF!</v>
      </c>
      <c r="K41" s="19">
        <f>E33</f>
        <v>-0.16448878283458823</v>
      </c>
    </row>
    <row r="42" spans="2:16" x14ac:dyDescent="0.3">
      <c r="B42" s="34" t="s">
        <v>46</v>
      </c>
      <c r="G42" s="18" t="s">
        <v>37</v>
      </c>
      <c r="H42" s="18"/>
      <c r="I42" s="18"/>
      <c r="J42" s="18"/>
      <c r="K42" s="30" t="e">
        <f>SUMPRODUCT(J40:J41,K40:K41)</f>
        <v>#REF!</v>
      </c>
    </row>
    <row r="43" spans="2:16" x14ac:dyDescent="0.3">
      <c r="B43" s="34" t="s">
        <v>45</v>
      </c>
    </row>
  </sheetData>
  <pageMargins left="0.25" right="0.25" top="0.75" bottom="0.75" header="0.3" footer="0.3"/>
  <pageSetup paperSize="9" scale="80" orientation="portrait" r:id="rId1"/>
  <colBreaks count="1" manualBreakCount="1">
    <brk id="12" max="1048575" man="1"/>
  </colBreaks>
  <ignoredErrors>
    <ignoredError sqref="I11:I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E9B7-AF10-4111-96D8-D246A76CDAC5}">
  <dimension ref="A2:K58"/>
  <sheetViews>
    <sheetView showGridLines="0" topLeftCell="A7" workbookViewId="0">
      <selection activeCell="C7" sqref="C7"/>
    </sheetView>
  </sheetViews>
  <sheetFormatPr defaultRowHeight="14.4" x14ac:dyDescent="0.3"/>
  <cols>
    <col min="1" max="1" width="2" bestFit="1" customWidth="1"/>
    <col min="2" max="2" width="29.88671875" bestFit="1" customWidth="1"/>
    <col min="7" max="7" width="8.109375" bestFit="1" customWidth="1"/>
    <col min="8" max="8" width="9.109375" bestFit="1" customWidth="1"/>
    <col min="9" max="9" width="9.88671875" bestFit="1" customWidth="1"/>
    <col min="10" max="10" width="14.6640625" bestFit="1" customWidth="1"/>
    <col min="11" max="11" width="10.88671875" bestFit="1" customWidth="1"/>
  </cols>
  <sheetData>
    <row r="2" spans="1:11" x14ac:dyDescent="0.3">
      <c r="A2" t="s">
        <v>141</v>
      </c>
      <c r="B2" s="82" t="s">
        <v>139</v>
      </c>
      <c r="C2" s="81"/>
      <c r="D2" s="81"/>
      <c r="E2" s="81"/>
      <c r="F2" s="81"/>
      <c r="G2" s="83">
        <f>'Data room'!I$2</f>
        <v>43160</v>
      </c>
      <c r="H2" s="83">
        <f>'Data room'!J$2</f>
        <v>43525</v>
      </c>
      <c r="I2" s="83">
        <f>'Data room'!K$2</f>
        <v>43891</v>
      </c>
      <c r="J2" s="83">
        <f>'Data room'!L$2</f>
        <v>44256</v>
      </c>
      <c r="K2" s="83">
        <f>'Data room'!M$2</f>
        <v>44621</v>
      </c>
    </row>
    <row r="4" spans="1:11" x14ac:dyDescent="0.3">
      <c r="B4" s="22" t="s">
        <v>140</v>
      </c>
    </row>
    <row r="5" spans="1:11" x14ac:dyDescent="0.3">
      <c r="B5" t="str">
        <f>'Data room'!B35</f>
        <v>Inventories</v>
      </c>
      <c r="G5" s="129">
        <f>'Data room'!I35</f>
        <v>2658</v>
      </c>
      <c r="H5" s="129">
        <f>'Data room'!J35</f>
        <v>3150</v>
      </c>
      <c r="I5" s="129">
        <f>'Data room'!K35</f>
        <v>3390</v>
      </c>
      <c r="J5" s="129">
        <f>'Data room'!L35</f>
        <v>3799</v>
      </c>
      <c r="K5" s="129">
        <f>'Data room'!M35</f>
        <v>6153</v>
      </c>
    </row>
    <row r="6" spans="1:11" x14ac:dyDescent="0.3">
      <c r="B6" t="str">
        <f>'Data room'!B36</f>
        <v>Trade receivables</v>
      </c>
      <c r="G6" s="122">
        <f>'Data room'!I36</f>
        <v>1731</v>
      </c>
      <c r="H6" s="122">
        <f>'Data room'!J36</f>
        <v>1907</v>
      </c>
      <c r="I6" s="122">
        <f>'Data room'!K36</f>
        <v>1795</v>
      </c>
      <c r="J6" s="122">
        <f>'Data room'!L36</f>
        <v>2602</v>
      </c>
      <c r="K6" s="122">
        <f>'Data room'!M36</f>
        <v>3871</v>
      </c>
    </row>
    <row r="7" spans="1:11" x14ac:dyDescent="0.3">
      <c r="B7" t="str">
        <f>'Data room'!B38</f>
        <v>Short term loans</v>
      </c>
      <c r="G7" s="122">
        <f>'Data room'!I38</f>
        <v>13</v>
      </c>
      <c r="H7" s="122">
        <f>'Data room'!J38</f>
        <v>16</v>
      </c>
      <c r="I7" s="122">
        <f>'Data room'!K38</f>
        <v>12</v>
      </c>
      <c r="J7" s="122">
        <f>'Data room'!L38</f>
        <v>11</v>
      </c>
      <c r="K7" s="122">
        <f>'Data room'!M38</f>
        <v>8</v>
      </c>
    </row>
    <row r="8" spans="1:11" ht="15" thickBot="1" x14ac:dyDescent="0.35">
      <c r="B8" t="str">
        <f>'Data room'!B39</f>
        <v>Other asset items</v>
      </c>
      <c r="G8" s="123">
        <f>'Data room'!I39</f>
        <v>1678</v>
      </c>
      <c r="H8" s="123">
        <f>'Data room'!J39</f>
        <v>1456</v>
      </c>
      <c r="I8" s="123">
        <f>'Data room'!K39</f>
        <v>1727</v>
      </c>
      <c r="J8" s="123">
        <f>'Data room'!L39</f>
        <v>2555</v>
      </c>
      <c r="K8" s="123">
        <f>'Data room'!M39</f>
        <v>2869</v>
      </c>
    </row>
    <row r="9" spans="1:11" x14ac:dyDescent="0.3">
      <c r="A9" t="s">
        <v>141</v>
      </c>
      <c r="B9" s="84" t="s">
        <v>142</v>
      </c>
      <c r="C9" s="85"/>
      <c r="D9" s="85"/>
      <c r="E9" s="85"/>
      <c r="F9" s="85"/>
      <c r="G9" s="124">
        <f>SUM(G5:G8)</f>
        <v>6080</v>
      </c>
      <c r="H9" s="124">
        <f>SUM(H5:H8)</f>
        <v>6529</v>
      </c>
      <c r="I9" s="124">
        <f t="shared" ref="I9:K9" si="0">SUM(I5:I8)</f>
        <v>6924</v>
      </c>
      <c r="J9" s="124">
        <f t="shared" si="0"/>
        <v>8967</v>
      </c>
      <c r="K9" s="124">
        <f t="shared" si="0"/>
        <v>12901</v>
      </c>
    </row>
    <row r="10" spans="1:11" x14ac:dyDescent="0.3">
      <c r="G10" s="125"/>
      <c r="H10" s="125"/>
      <c r="I10" s="125"/>
      <c r="J10" s="125"/>
      <c r="K10" s="125"/>
    </row>
    <row r="11" spans="1:11" x14ac:dyDescent="0.3">
      <c r="B11" s="22" t="s">
        <v>143</v>
      </c>
      <c r="G11" s="125"/>
      <c r="H11" s="125"/>
      <c r="I11" s="125"/>
      <c r="J11" s="125"/>
      <c r="K11" s="125"/>
    </row>
    <row r="12" spans="1:11" x14ac:dyDescent="0.3">
      <c r="B12" t="str">
        <f>'Data room'!B13</f>
        <v>Trade Payables</v>
      </c>
      <c r="G12" s="129">
        <f>'Data room'!I13</f>
        <v>2160</v>
      </c>
      <c r="H12" s="129">
        <f>'Data room'!J13</f>
        <v>2394</v>
      </c>
      <c r="I12" s="129">
        <f>'Data room'!K13</f>
        <v>2137</v>
      </c>
      <c r="J12" s="129">
        <f>'Data room'!L13</f>
        <v>3379</v>
      </c>
      <c r="K12" s="129">
        <f>'Data room'!M13</f>
        <v>4164</v>
      </c>
    </row>
    <row r="13" spans="1:11" x14ac:dyDescent="0.3">
      <c r="B13" t="str">
        <f>'Data room'!B14</f>
        <v>Advance from Customers</v>
      </c>
      <c r="G13" s="122">
        <f>'Data room'!I14</f>
        <v>16</v>
      </c>
      <c r="H13" s="122">
        <f>'Data room'!J14</f>
        <v>13</v>
      </c>
      <c r="I13" s="122">
        <f>'Data room'!K14</f>
        <v>29</v>
      </c>
      <c r="J13" s="122">
        <f>'Data room'!L14</f>
        <v>41</v>
      </c>
      <c r="K13" s="122">
        <f>'Data room'!M14</f>
        <v>76</v>
      </c>
    </row>
    <row r="14" spans="1:11" ht="15" thickBot="1" x14ac:dyDescent="0.35">
      <c r="B14" t="str">
        <f>'Data room'!B15</f>
        <v>Other liability items</v>
      </c>
      <c r="G14" s="123">
        <f>'Data room'!I15</f>
        <v>2316</v>
      </c>
      <c r="H14" s="123">
        <f>'Data room'!J15</f>
        <v>2690</v>
      </c>
      <c r="I14" s="123">
        <f>'Data room'!K15</f>
        <v>2320</v>
      </c>
      <c r="J14" s="123">
        <f>'Data room'!L15</f>
        <v>2613</v>
      </c>
      <c r="K14" s="123">
        <f>'Data room'!M15</f>
        <v>2932</v>
      </c>
    </row>
    <row r="15" spans="1:11" x14ac:dyDescent="0.3">
      <c r="A15" t="s">
        <v>141</v>
      </c>
      <c r="B15" s="84" t="s">
        <v>150</v>
      </c>
      <c r="C15" s="85"/>
      <c r="D15" s="85"/>
      <c r="E15" s="85"/>
      <c r="F15" s="85"/>
      <c r="G15" s="126">
        <f>SUM(G12:G14)</f>
        <v>4492</v>
      </c>
      <c r="H15" s="126">
        <f>SUM(H12:H14)</f>
        <v>5097</v>
      </c>
      <c r="I15" s="126">
        <f>SUM(I12:I14)</f>
        <v>4486</v>
      </c>
      <c r="J15" s="126">
        <f>SUM(J12:J14)</f>
        <v>6033</v>
      </c>
      <c r="K15" s="126">
        <f>SUM(K12:K14)</f>
        <v>7172</v>
      </c>
    </row>
    <row r="16" spans="1:11" x14ac:dyDescent="0.3">
      <c r="G16" s="125"/>
      <c r="H16" s="125"/>
      <c r="I16" s="125"/>
      <c r="J16" s="125"/>
      <c r="K16" s="125"/>
    </row>
    <row r="17" spans="1:11" ht="15" thickBot="1" x14ac:dyDescent="0.35">
      <c r="A17" t="s">
        <v>141</v>
      </c>
      <c r="B17" s="86" t="s">
        <v>144</v>
      </c>
      <c r="C17" s="86"/>
      <c r="D17" s="86"/>
      <c r="E17" s="86"/>
      <c r="F17" s="86"/>
      <c r="G17" s="127">
        <f>G9-G15</f>
        <v>1588</v>
      </c>
      <c r="H17" s="127">
        <f t="shared" ref="H17:K17" si="1">H9-H15</f>
        <v>1432</v>
      </c>
      <c r="I17" s="127">
        <f t="shared" si="1"/>
        <v>2438</v>
      </c>
      <c r="J17" s="127">
        <f t="shared" si="1"/>
        <v>2934</v>
      </c>
      <c r="K17" s="127">
        <f t="shared" si="1"/>
        <v>5729</v>
      </c>
    </row>
    <row r="18" spans="1:11" x14ac:dyDescent="0.3">
      <c r="G18" s="125"/>
      <c r="H18" s="125"/>
      <c r="I18" s="125"/>
      <c r="J18" s="125"/>
      <c r="K18" s="125"/>
    </row>
    <row r="19" spans="1:11" x14ac:dyDescent="0.3">
      <c r="B19" s="22" t="s">
        <v>145</v>
      </c>
      <c r="G19" s="125"/>
      <c r="H19" s="125"/>
      <c r="I19" s="125"/>
      <c r="J19" s="125"/>
      <c r="K19" s="125"/>
    </row>
    <row r="20" spans="1:11" x14ac:dyDescent="0.3">
      <c r="B20" t="str">
        <f>'Data room'!B19</f>
        <v>Land</v>
      </c>
      <c r="G20" s="129">
        <f>'Data room'!I19</f>
        <v>586</v>
      </c>
      <c r="H20" s="129">
        <f>'Data room'!J19</f>
        <v>605</v>
      </c>
      <c r="I20" s="129">
        <f>'Data room'!K19</f>
        <v>640</v>
      </c>
      <c r="J20" s="129">
        <f>'Data room'!L19</f>
        <v>644</v>
      </c>
      <c r="K20" s="129">
        <f>'Data room'!M19</f>
        <v>644</v>
      </c>
    </row>
    <row r="21" spans="1:11" x14ac:dyDescent="0.3">
      <c r="B21" t="str">
        <f>'Data room'!B20</f>
        <v>Building</v>
      </c>
      <c r="G21" s="122">
        <f>'Data room'!I20</f>
        <v>957</v>
      </c>
      <c r="H21" s="122">
        <f>'Data room'!J20</f>
        <v>2402</v>
      </c>
      <c r="I21" s="122">
        <f>'Data room'!K20</f>
        <v>2257</v>
      </c>
      <c r="J21" s="122">
        <f>'Data room'!L20</f>
        <v>2249</v>
      </c>
      <c r="K21" s="122">
        <f>'Data room'!M20</f>
        <v>2325</v>
      </c>
    </row>
    <row r="22" spans="1:11" x14ac:dyDescent="0.3">
      <c r="B22" t="str">
        <f>'Data room'!B21</f>
        <v>Plant Machinery</v>
      </c>
      <c r="G22" s="122">
        <f>'Data room'!I21</f>
        <v>2157</v>
      </c>
      <c r="H22" s="122">
        <f>'Data room'!J21</f>
        <v>4006</v>
      </c>
      <c r="I22" s="122">
        <f>'Data room'!K21</f>
        <v>4208</v>
      </c>
      <c r="J22" s="122">
        <f>'Data room'!L21</f>
        <v>4340</v>
      </c>
      <c r="K22" s="122">
        <f>'Data room'!M21</f>
        <v>4531</v>
      </c>
    </row>
    <row r="23" spans="1:11" x14ac:dyDescent="0.3">
      <c r="B23" t="str">
        <f>'Data room'!B22</f>
        <v>Equipments</v>
      </c>
      <c r="G23" s="122">
        <f>'Data room'!I22</f>
        <v>200</v>
      </c>
      <c r="H23" s="122">
        <f>'Data room'!J22</f>
        <v>221</v>
      </c>
      <c r="I23" s="122">
        <f>'Data room'!K22</f>
        <v>241</v>
      </c>
      <c r="J23" s="122">
        <f>'Data room'!L22</f>
        <v>243</v>
      </c>
      <c r="K23" s="122">
        <f>'Data room'!M22</f>
        <v>253</v>
      </c>
    </row>
    <row r="24" spans="1:11" x14ac:dyDescent="0.3">
      <c r="B24" t="str">
        <f>'Data room'!B23</f>
        <v>Furniture n fittings</v>
      </c>
      <c r="G24" s="122">
        <f>'Data room'!I23</f>
        <v>72</v>
      </c>
      <c r="H24" s="122">
        <f>'Data room'!J23</f>
        <v>88</v>
      </c>
      <c r="I24" s="122">
        <f>'Data room'!K23</f>
        <v>94</v>
      </c>
      <c r="J24" s="122">
        <f>'Data room'!L23</f>
        <v>99</v>
      </c>
      <c r="K24" s="122">
        <f>'Data room'!M23</f>
        <v>113</v>
      </c>
    </row>
    <row r="25" spans="1:11" x14ac:dyDescent="0.3">
      <c r="B25" t="str">
        <f>'Data room'!B24</f>
        <v>Vehicles</v>
      </c>
      <c r="G25" s="122">
        <f>'Data room'!I24</f>
        <v>27</v>
      </c>
      <c r="H25" s="122">
        <f>'Data room'!J24</f>
        <v>47</v>
      </c>
      <c r="I25" s="122">
        <f>'Data room'!K24</f>
        <v>43</v>
      </c>
      <c r="J25" s="122">
        <f>'Data room'!L24</f>
        <v>38</v>
      </c>
      <c r="K25" s="122">
        <f>'Data room'!M24</f>
        <v>32</v>
      </c>
    </row>
    <row r="26" spans="1:11" x14ac:dyDescent="0.3">
      <c r="B26" t="str">
        <f>'Data room'!B25</f>
        <v>Intangible Assets</v>
      </c>
      <c r="G26" s="122">
        <f>'Data room'!I25</f>
        <v>468</v>
      </c>
      <c r="H26" s="122">
        <f>'Data room'!J25</f>
        <v>512</v>
      </c>
      <c r="I26" s="122">
        <f>'Data room'!K25</f>
        <v>505</v>
      </c>
      <c r="J26" s="122">
        <f>'Data room'!L25</f>
        <v>476</v>
      </c>
      <c r="K26" s="122">
        <f>'Data room'!M25</f>
        <v>345</v>
      </c>
    </row>
    <row r="27" spans="1:11" ht="15" thickBot="1" x14ac:dyDescent="0.35">
      <c r="B27" t="str">
        <f>'Data room'!B26</f>
        <v>Other fixed assets</v>
      </c>
      <c r="G27" s="122">
        <f>'Data room'!I26</f>
        <v>238</v>
      </c>
      <c r="H27" s="122">
        <f>'Data room'!J26</f>
        <v>261</v>
      </c>
      <c r="I27" s="122">
        <f>'Data room'!K26</f>
        <v>293</v>
      </c>
      <c r="J27" s="122">
        <f>'Data room'!L26</f>
        <v>302</v>
      </c>
      <c r="K27" s="122">
        <f>'Data room'!M26</f>
        <v>294</v>
      </c>
    </row>
    <row r="28" spans="1:11" x14ac:dyDescent="0.3">
      <c r="B28" s="84" t="s">
        <v>146</v>
      </c>
      <c r="C28" s="85"/>
      <c r="D28" s="85"/>
      <c r="E28" s="85"/>
      <c r="F28" s="85"/>
      <c r="G28" s="126">
        <f>SUM(G20:G27)</f>
        <v>4705</v>
      </c>
      <c r="H28" s="126">
        <f t="shared" ref="H28:K28" si="2">SUM(H20:H27)</f>
        <v>8142</v>
      </c>
      <c r="I28" s="126">
        <f t="shared" si="2"/>
        <v>8281</v>
      </c>
      <c r="J28" s="126">
        <f t="shared" si="2"/>
        <v>8391</v>
      </c>
      <c r="K28" s="126">
        <f t="shared" si="2"/>
        <v>8537</v>
      </c>
    </row>
    <row r="29" spans="1:11" x14ac:dyDescent="0.3">
      <c r="B29" t="s">
        <v>147</v>
      </c>
      <c r="G29" s="125">
        <f>-'Data room'!I28</f>
        <v>-973</v>
      </c>
      <c r="H29" s="125">
        <f>-'Data room'!J28</f>
        <v>-1592</v>
      </c>
      <c r="I29" s="125">
        <f>-'Data room'!K28</f>
        <v>-2010</v>
      </c>
      <c r="J29" s="125">
        <f>-'Data room'!L28</f>
        <v>-2533</v>
      </c>
      <c r="K29" s="125">
        <f>-'Data room'!M28</f>
        <v>-3019</v>
      </c>
    </row>
    <row r="30" spans="1:11" ht="15" thickBot="1" x14ac:dyDescent="0.35">
      <c r="A30" t="s">
        <v>141</v>
      </c>
      <c r="B30" s="86" t="s">
        <v>148</v>
      </c>
      <c r="C30" s="86"/>
      <c r="D30" s="86"/>
      <c r="E30" s="86"/>
      <c r="F30" s="86"/>
      <c r="G30" s="127">
        <f>SUM(G28:G29)</f>
        <v>3732</v>
      </c>
      <c r="H30" s="127">
        <f>SUM(H28:H29)</f>
        <v>6550</v>
      </c>
      <c r="I30" s="127">
        <f t="shared" ref="I30:K30" si="3">SUM(I28:I29)</f>
        <v>6271</v>
      </c>
      <c r="J30" s="127">
        <f t="shared" si="3"/>
        <v>5858</v>
      </c>
      <c r="K30" s="127">
        <f t="shared" si="3"/>
        <v>5518</v>
      </c>
    </row>
    <row r="31" spans="1:11" x14ac:dyDescent="0.3">
      <c r="G31" s="125"/>
      <c r="H31" s="125"/>
      <c r="I31" s="125"/>
      <c r="J31" s="125"/>
      <c r="K31" s="125"/>
    </row>
    <row r="32" spans="1:11" x14ac:dyDescent="0.3">
      <c r="A32" t="s">
        <v>141</v>
      </c>
      <c r="B32" s="17" t="s">
        <v>149</v>
      </c>
      <c r="C32" s="17"/>
      <c r="D32" s="17"/>
      <c r="E32" s="17"/>
      <c r="F32" s="17"/>
      <c r="G32" s="138">
        <f>G30+G17</f>
        <v>5320</v>
      </c>
      <c r="H32" s="138">
        <f t="shared" ref="H32:K32" si="4">H30+H17</f>
        <v>7982</v>
      </c>
      <c r="I32" s="138">
        <f t="shared" si="4"/>
        <v>8709</v>
      </c>
      <c r="J32" s="138">
        <f t="shared" si="4"/>
        <v>8792</v>
      </c>
      <c r="K32" s="138">
        <f t="shared" si="4"/>
        <v>11247</v>
      </c>
    </row>
    <row r="33" spans="1:11" x14ac:dyDescent="0.3">
      <c r="B33" s="121" t="s">
        <v>151</v>
      </c>
      <c r="C33" s="70"/>
      <c r="D33" s="70"/>
      <c r="E33" s="70"/>
      <c r="F33" s="70"/>
      <c r="G33" s="122">
        <f>'HistoricalFS &gt;'!H26+'HistoricalFS &gt;'!H20</f>
        <v>11215.739999999983</v>
      </c>
      <c r="H33" s="122">
        <f>'HistoricalFS &gt;'!I26+'HistoricalFS &gt;'!I20</f>
        <v>6791.0699999999888</v>
      </c>
      <c r="I33" s="122">
        <f>'HistoricalFS &gt;'!J26+'HistoricalFS &gt;'!J20</f>
        <v>8108.9100000000044</v>
      </c>
      <c r="J33" s="122">
        <f>'HistoricalFS &gt;'!K26+'HistoricalFS &gt;'!K20</f>
        <v>11175.350000000013</v>
      </c>
      <c r="K33" s="122">
        <f>'HistoricalFS &gt;'!L26+'HistoricalFS &gt;'!L20</f>
        <v>15928.48</v>
      </c>
    </row>
    <row r="35" spans="1:11" ht="15" thickBot="1" x14ac:dyDescent="0.35">
      <c r="A35" t="s">
        <v>141</v>
      </c>
      <c r="B35" s="86" t="s">
        <v>280</v>
      </c>
      <c r="C35" s="86"/>
      <c r="D35" s="86"/>
      <c r="E35" s="86"/>
      <c r="F35" s="86"/>
      <c r="G35" s="116">
        <f>G33/G32</f>
        <v>2.1082218045112753</v>
      </c>
      <c r="H35" s="116">
        <f t="shared" ref="H35:K35" si="5">H33/H32</f>
        <v>0.85079804560260441</v>
      </c>
      <c r="I35" s="116">
        <f t="shared" si="5"/>
        <v>0.93109541853255307</v>
      </c>
      <c r="J35" s="116">
        <f t="shared" si="5"/>
        <v>1.271081665150138</v>
      </c>
      <c r="K35" s="116">
        <f t="shared" si="5"/>
        <v>1.4162425535698409</v>
      </c>
    </row>
    <row r="37" spans="1:11" x14ac:dyDescent="0.3">
      <c r="A37" t="s">
        <v>141</v>
      </c>
      <c r="B37" s="82" t="s">
        <v>281</v>
      </c>
      <c r="C37" s="81"/>
      <c r="D37" s="81"/>
      <c r="E37" s="81"/>
      <c r="F37" s="81"/>
      <c r="G37" s="83">
        <f>'Data room'!I$2</f>
        <v>43160</v>
      </c>
      <c r="H37" s="83">
        <f>'Data room'!J$2</f>
        <v>43525</v>
      </c>
      <c r="I37" s="83">
        <f>'Data room'!K$2</f>
        <v>43891</v>
      </c>
      <c r="J37" s="83">
        <f>'Data room'!L$2</f>
        <v>44256</v>
      </c>
      <c r="K37" s="83">
        <f>'Data room'!M$2</f>
        <v>44621</v>
      </c>
    </row>
    <row r="39" spans="1:11" x14ac:dyDescent="0.3">
      <c r="B39" s="22" t="s">
        <v>282</v>
      </c>
      <c r="G39" s="138">
        <f>-SUM('Caseflow Statement '!J14:J15)</f>
        <v>35049</v>
      </c>
      <c r="H39" s="138">
        <f>-SUM('Caseflow Statement '!K14:K15)</f>
        <v>35237</v>
      </c>
      <c r="I39" s="138">
        <f>-SUM('Caseflow Statement '!L14:L15)</f>
        <v>29531</v>
      </c>
      <c r="J39" s="138">
        <f>-SUM('Caseflow Statement '!M14:M15)</f>
        <v>19854</v>
      </c>
      <c r="K39" s="138">
        <f>-SUM('Caseflow Statement '!N14:N15)</f>
        <v>14938</v>
      </c>
    </row>
    <row r="40" spans="1:11" x14ac:dyDescent="0.3">
      <c r="B40" s="22" t="s">
        <v>286</v>
      </c>
      <c r="G40" s="129"/>
      <c r="H40" s="138">
        <f>H17-G17</f>
        <v>-156</v>
      </c>
      <c r="I40" s="138">
        <f t="shared" ref="I40:K40" si="6">I17-H17</f>
        <v>1006</v>
      </c>
      <c r="J40" s="138">
        <f t="shared" si="6"/>
        <v>496</v>
      </c>
      <c r="K40" s="138">
        <f t="shared" si="6"/>
        <v>2795</v>
      </c>
    </row>
    <row r="42" spans="1:11" x14ac:dyDescent="0.3">
      <c r="B42" s="17" t="s">
        <v>151</v>
      </c>
      <c r="C42" s="6"/>
      <c r="D42" s="6"/>
      <c r="E42" s="6"/>
      <c r="F42" s="6"/>
      <c r="G42" s="138">
        <f>G33</f>
        <v>11215.739999999983</v>
      </c>
      <c r="H42" s="138">
        <f t="shared" ref="H42:K42" si="7">H33</f>
        <v>6791.0699999999888</v>
      </c>
      <c r="I42" s="138">
        <f t="shared" si="7"/>
        <v>8108.9100000000044</v>
      </c>
      <c r="J42" s="138">
        <f t="shared" si="7"/>
        <v>11175.350000000013</v>
      </c>
      <c r="K42" s="138">
        <f t="shared" si="7"/>
        <v>15928.48</v>
      </c>
    </row>
    <row r="43" spans="1:11" x14ac:dyDescent="0.3">
      <c r="B43" s="22" t="s">
        <v>287</v>
      </c>
      <c r="G43" s="140">
        <v>0.25</v>
      </c>
      <c r="H43" s="140">
        <v>0.25</v>
      </c>
      <c r="I43" s="140">
        <v>0.25</v>
      </c>
      <c r="J43" s="140">
        <v>0.25</v>
      </c>
      <c r="K43" s="140">
        <v>0.25</v>
      </c>
    </row>
    <row r="44" spans="1:11" x14ac:dyDescent="0.3">
      <c r="B44" s="17" t="s">
        <v>289</v>
      </c>
      <c r="C44" s="6"/>
      <c r="D44" s="6"/>
      <c r="E44" s="6"/>
      <c r="F44" s="6"/>
      <c r="G44" s="139">
        <f>G42*(1-G43)</f>
        <v>8411.8049999999876</v>
      </c>
      <c r="H44" s="139">
        <f t="shared" ref="H44:K44" si="8">H42*(1-H43)</f>
        <v>5093.3024999999916</v>
      </c>
      <c r="I44" s="139">
        <f t="shared" si="8"/>
        <v>6081.6825000000035</v>
      </c>
      <c r="J44" s="139">
        <f t="shared" si="8"/>
        <v>8381.5125000000098</v>
      </c>
      <c r="K44" s="139">
        <f t="shared" si="8"/>
        <v>11946.36</v>
      </c>
    </row>
    <row r="46" spans="1:11" ht="15" thickBot="1" x14ac:dyDescent="0.35">
      <c r="B46" s="22" t="s">
        <v>288</v>
      </c>
      <c r="G46" s="125"/>
      <c r="H46" s="128">
        <f>SUM(H39:H40)</f>
        <v>35081</v>
      </c>
      <c r="I46" s="128">
        <f t="shared" ref="I46:K46" si="9">SUM(I39:I40)</f>
        <v>30537</v>
      </c>
      <c r="J46" s="128">
        <f t="shared" si="9"/>
        <v>20350</v>
      </c>
      <c r="K46" s="128">
        <f t="shared" si="9"/>
        <v>17733</v>
      </c>
    </row>
    <row r="47" spans="1:11" s="22" customFormat="1" ht="15" thickBot="1" x14ac:dyDescent="0.35">
      <c r="B47" s="136" t="s">
        <v>290</v>
      </c>
      <c r="C47" s="136"/>
      <c r="D47" s="136"/>
      <c r="E47" s="136"/>
      <c r="F47" s="136"/>
      <c r="G47" s="136"/>
      <c r="H47" s="137">
        <f>H46/H44</f>
        <v>6.8876725857142898</v>
      </c>
      <c r="I47" s="137">
        <f t="shared" ref="I47:K47" si="10">I46/I44</f>
        <v>5.0211434089168554</v>
      </c>
      <c r="J47" s="137">
        <f t="shared" si="10"/>
        <v>2.4279627334565181</v>
      </c>
      <c r="K47" s="137">
        <f t="shared" si="10"/>
        <v>1.4843852018522796</v>
      </c>
    </row>
    <row r="48" spans="1:11" ht="15" thickTop="1" x14ac:dyDescent="0.3">
      <c r="B48" s="22"/>
      <c r="H48" s="8"/>
      <c r="I48" s="8"/>
      <c r="J48" s="8"/>
      <c r="K48" s="8"/>
    </row>
    <row r="49" spans="1:11" x14ac:dyDescent="0.3">
      <c r="I49" s="22"/>
      <c r="J49" s="132" t="s">
        <v>291</v>
      </c>
      <c r="K49" s="133">
        <f>AVERAGE(H47:K47)</f>
        <v>3.9552909824849856</v>
      </c>
    </row>
    <row r="50" spans="1:11" x14ac:dyDescent="0.3">
      <c r="I50" s="22"/>
      <c r="J50" s="134" t="s">
        <v>292</v>
      </c>
      <c r="K50" s="135">
        <f>MEDIAN(H47:K47)</f>
        <v>3.724553071186687</v>
      </c>
    </row>
    <row r="52" spans="1:11" x14ac:dyDescent="0.3">
      <c r="A52" t="s">
        <v>141</v>
      </c>
      <c r="B52" s="82" t="s">
        <v>293</v>
      </c>
      <c r="C52" s="81"/>
      <c r="D52" s="81"/>
      <c r="E52" s="81"/>
      <c r="F52" s="81"/>
      <c r="G52" s="83">
        <f>'Data room'!I$2</f>
        <v>43160</v>
      </c>
      <c r="H52" s="83">
        <f>'Data room'!J$2</f>
        <v>43525</v>
      </c>
      <c r="I52" s="83">
        <f>'Data room'!K$2</f>
        <v>43891</v>
      </c>
      <c r="J52" s="83">
        <f>'Data room'!L$2</f>
        <v>44256</v>
      </c>
      <c r="K52" s="83">
        <f>'Data room'!M$2</f>
        <v>44621</v>
      </c>
    </row>
    <row r="54" spans="1:11" x14ac:dyDescent="0.3">
      <c r="B54" t="s">
        <v>294</v>
      </c>
      <c r="G54" s="6"/>
      <c r="H54" s="14">
        <f>H47</f>
        <v>6.8876725857142898</v>
      </c>
      <c r="I54" s="14">
        <f t="shared" ref="I54:K54" si="11">I47</f>
        <v>5.0211434089168554</v>
      </c>
      <c r="J54" s="14">
        <f t="shared" si="11"/>
        <v>2.4279627334565181</v>
      </c>
      <c r="K54" s="14">
        <f t="shared" si="11"/>
        <v>1.4843852018522796</v>
      </c>
    </row>
    <row r="55" spans="1:11" x14ac:dyDescent="0.3">
      <c r="B55" t="s">
        <v>280</v>
      </c>
      <c r="G55" s="70"/>
      <c r="H55" s="130">
        <f>G35</f>
        <v>2.1082218045112753</v>
      </c>
      <c r="I55" s="130">
        <f t="shared" ref="I55:K55" si="12">H35</f>
        <v>0.85079804560260441</v>
      </c>
      <c r="J55" s="130">
        <f t="shared" si="12"/>
        <v>0.93109541853255307</v>
      </c>
      <c r="K55" s="130">
        <f t="shared" si="12"/>
        <v>1.271081665150138</v>
      </c>
    </row>
    <row r="56" spans="1:11" x14ac:dyDescent="0.3">
      <c r="G56" s="5"/>
      <c r="H56" s="70"/>
      <c r="I56" s="70"/>
      <c r="J56" s="70"/>
      <c r="K56" s="70"/>
    </row>
    <row r="57" spans="1:11" ht="15" thickBot="1" x14ac:dyDescent="0.35">
      <c r="B57" s="120" t="s">
        <v>295</v>
      </c>
      <c r="C57" s="120"/>
      <c r="D57" s="120"/>
      <c r="E57" s="120"/>
      <c r="F57" s="120"/>
      <c r="G57" s="120"/>
      <c r="H57" s="131">
        <f>H54*H55</f>
        <v>14.520741527537421</v>
      </c>
      <c r="I57" s="131">
        <f t="shared" ref="I57:K57" si="13">I54*I55</f>
        <v>4.2719789989968593</v>
      </c>
      <c r="J57" s="131">
        <f t="shared" si="13"/>
        <v>2.2606649774891383</v>
      </c>
      <c r="K57" s="131">
        <f t="shared" si="13"/>
        <v>1.8867748140946192</v>
      </c>
    </row>
    <row r="58" spans="1:11" ht="15" thickTop="1" x14ac:dyDescent="0.3"/>
  </sheetData>
  <pageMargins left="0.7" right="0.7" top="0.75" bottom="0.75" header="0.3" footer="0.3"/>
  <ignoredErrors>
    <ignoredError sqref="G39:K3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0B6B-3940-4F24-9E41-9E5C395F5365}">
  <dimension ref="B2:N51"/>
  <sheetViews>
    <sheetView workbookViewId="0">
      <pane ySplit="2" topLeftCell="A3" activePane="bottomLeft" state="frozen"/>
      <selection pane="bottomLeft" activeCell="A18" sqref="A18"/>
    </sheetView>
  </sheetViews>
  <sheetFormatPr defaultRowHeight="14.4" x14ac:dyDescent="0.3"/>
  <cols>
    <col min="1" max="1" width="1.88671875" customWidth="1"/>
    <col min="2" max="2" width="34.88671875" bestFit="1" customWidth="1"/>
    <col min="3" max="14" width="10.5546875" bestFit="1" customWidth="1"/>
  </cols>
  <sheetData>
    <row r="2" spans="2:14" x14ac:dyDescent="0.3">
      <c r="B2" s="87" t="s">
        <v>285</v>
      </c>
      <c r="C2" s="87">
        <v>40603</v>
      </c>
      <c r="D2" s="87">
        <v>40969</v>
      </c>
      <c r="E2" s="87">
        <v>41334</v>
      </c>
      <c r="F2" s="87">
        <v>41699</v>
      </c>
      <c r="G2" s="87">
        <v>42064</v>
      </c>
      <c r="H2" s="87">
        <v>42430</v>
      </c>
      <c r="I2" s="87">
        <v>42795</v>
      </c>
      <c r="J2" s="87">
        <v>43160</v>
      </c>
      <c r="K2" s="87">
        <v>43525</v>
      </c>
      <c r="L2" s="87">
        <v>43891</v>
      </c>
      <c r="M2" s="87">
        <v>44256</v>
      </c>
      <c r="N2" s="87">
        <v>44621</v>
      </c>
    </row>
    <row r="3" spans="2:14" x14ac:dyDescent="0.3">
      <c r="B3" s="22" t="s">
        <v>277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2:14" x14ac:dyDescent="0.3">
      <c r="B4" t="s">
        <v>240</v>
      </c>
      <c r="C4" s="63">
        <v>16680</v>
      </c>
      <c r="D4" s="63">
        <v>22432</v>
      </c>
      <c r="E4" s="63">
        <v>24406</v>
      </c>
      <c r="F4" s="63">
        <v>36303</v>
      </c>
      <c r="G4" s="63">
        <v>43397</v>
      </c>
      <c r="H4" s="63">
        <v>38626</v>
      </c>
      <c r="I4" s="63">
        <v>28840</v>
      </c>
      <c r="J4" s="63">
        <v>33312</v>
      </c>
      <c r="K4" s="63">
        <v>28771</v>
      </c>
      <c r="L4" s="63">
        <v>23352</v>
      </c>
      <c r="M4" s="63">
        <v>31198</v>
      </c>
      <c r="N4" s="63">
        <v>26666</v>
      </c>
    </row>
    <row r="5" spans="2:14" x14ac:dyDescent="0.3">
      <c r="B5" t="s">
        <v>190</v>
      </c>
      <c r="C5" s="63">
        <v>-1422</v>
      </c>
      <c r="D5" s="63">
        <v>-6659</v>
      </c>
      <c r="E5" s="63">
        <v>-5177</v>
      </c>
      <c r="F5">
        <v>445</v>
      </c>
      <c r="G5" s="63">
        <v>-3179</v>
      </c>
      <c r="H5" s="63">
        <v>-2223</v>
      </c>
      <c r="I5" s="63">
        <v>-4152</v>
      </c>
      <c r="J5" s="63">
        <v>-10688</v>
      </c>
      <c r="K5" s="63">
        <v>-9109</v>
      </c>
      <c r="L5" s="63">
        <v>9950</v>
      </c>
      <c r="M5" s="63">
        <v>-5505</v>
      </c>
      <c r="N5">
        <v>337</v>
      </c>
    </row>
    <row r="6" spans="2:14" x14ac:dyDescent="0.3">
      <c r="B6" t="s">
        <v>191</v>
      </c>
      <c r="C6" s="63">
        <v>-2411</v>
      </c>
      <c r="D6" s="63">
        <v>-2719</v>
      </c>
      <c r="E6" s="63">
        <v>-2656</v>
      </c>
      <c r="F6" s="63">
        <v>-2853</v>
      </c>
      <c r="G6" s="63">
        <v>-3692</v>
      </c>
      <c r="H6" s="63">
        <v>-5743</v>
      </c>
      <c r="I6" s="63">
        <v>-6621</v>
      </c>
      <c r="J6" s="63">
        <v>-3560</v>
      </c>
      <c r="K6" s="63">
        <v>2069</v>
      </c>
      <c r="L6" s="63">
        <v>2326</v>
      </c>
      <c r="M6" s="63">
        <v>3814</v>
      </c>
      <c r="N6">
        <v>597</v>
      </c>
    </row>
    <row r="7" spans="2:14" x14ac:dyDescent="0.3">
      <c r="B7" t="s">
        <v>241</v>
      </c>
      <c r="C7">
        <v>344</v>
      </c>
      <c r="D7" s="63">
        <v>5867</v>
      </c>
      <c r="E7" s="63">
        <v>8132</v>
      </c>
      <c r="F7" s="63">
        <v>4694</v>
      </c>
      <c r="G7" s="63">
        <v>3598</v>
      </c>
      <c r="H7" s="63">
        <v>3947</v>
      </c>
      <c r="I7" s="63">
        <v>9301</v>
      </c>
      <c r="J7" s="63">
        <v>7320</v>
      </c>
      <c r="K7" s="63">
        <v>-4692</v>
      </c>
      <c r="L7" s="63">
        <v>-8085</v>
      </c>
      <c r="M7" s="63">
        <v>5748</v>
      </c>
      <c r="N7" s="63">
        <v>-7012</v>
      </c>
    </row>
    <row r="8" spans="2:14" x14ac:dyDescent="0.3">
      <c r="B8" t="s">
        <v>242</v>
      </c>
      <c r="C8">
        <v>0</v>
      </c>
      <c r="D8">
        <v>0</v>
      </c>
      <c r="E8">
        <v>0</v>
      </c>
      <c r="F8">
        <v>0</v>
      </c>
      <c r="G8">
        <v>0</v>
      </c>
      <c r="H8">
        <v>-520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t="s">
        <v>243</v>
      </c>
      <c r="C9">
        <v>-559</v>
      </c>
      <c r="D9" s="63">
        <v>1231</v>
      </c>
      <c r="E9">
        <v>-303</v>
      </c>
      <c r="F9" s="63">
        <v>1870</v>
      </c>
      <c r="G9">
        <v>-398</v>
      </c>
      <c r="H9" s="63">
        <v>5852</v>
      </c>
      <c r="I9" s="63">
        <v>4727</v>
      </c>
      <c r="J9">
        <v>494</v>
      </c>
      <c r="K9" s="63">
        <v>4512</v>
      </c>
      <c r="L9">
        <v>875</v>
      </c>
      <c r="M9" s="63">
        <v>-4150</v>
      </c>
      <c r="N9" s="63">
        <v>-4396</v>
      </c>
    </row>
    <row r="10" spans="2:14" x14ac:dyDescent="0.3">
      <c r="B10" t="s">
        <v>245</v>
      </c>
      <c r="C10" s="63">
        <v>-1391</v>
      </c>
      <c r="D10" s="63">
        <v>-1768</v>
      </c>
      <c r="E10" s="63">
        <v>-2240</v>
      </c>
      <c r="F10" s="63">
        <v>-4308</v>
      </c>
      <c r="G10" s="63">
        <v>-4194</v>
      </c>
      <c r="H10" s="63">
        <v>-2040</v>
      </c>
      <c r="I10" s="63">
        <v>-1895</v>
      </c>
      <c r="J10" s="63">
        <v>-3021</v>
      </c>
      <c r="K10" s="63">
        <v>-2659</v>
      </c>
      <c r="L10" s="63">
        <v>-1785</v>
      </c>
      <c r="M10" s="63">
        <v>-2105</v>
      </c>
      <c r="N10" s="63">
        <v>-1910</v>
      </c>
    </row>
    <row r="11" spans="2:14" x14ac:dyDescent="0.3">
      <c r="B11" s="80" t="s">
        <v>284</v>
      </c>
      <c r="C11" s="117">
        <f>SUM(C4:C10)</f>
        <v>11241</v>
      </c>
      <c r="D11" s="117">
        <f t="shared" ref="D11:N11" si="0">SUM(D4:D10)</f>
        <v>18384</v>
      </c>
      <c r="E11" s="117">
        <f t="shared" si="0"/>
        <v>22162</v>
      </c>
      <c r="F11" s="117">
        <f t="shared" si="0"/>
        <v>36151</v>
      </c>
      <c r="G11" s="117">
        <f t="shared" si="0"/>
        <v>35532</v>
      </c>
      <c r="H11" s="117">
        <f t="shared" si="0"/>
        <v>37899</v>
      </c>
      <c r="I11" s="117">
        <f t="shared" si="0"/>
        <v>30200</v>
      </c>
      <c r="J11" s="117">
        <f t="shared" si="0"/>
        <v>23857</v>
      </c>
      <c r="K11" s="117">
        <f t="shared" si="0"/>
        <v>18892</v>
      </c>
      <c r="L11" s="117">
        <f t="shared" si="0"/>
        <v>26633</v>
      </c>
      <c r="M11" s="117">
        <f t="shared" si="0"/>
        <v>29000</v>
      </c>
      <c r="N11" s="117">
        <f t="shared" si="0"/>
        <v>14282</v>
      </c>
    </row>
    <row r="12" spans="2:14" x14ac:dyDescent="0.3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2:14" x14ac:dyDescent="0.3">
      <c r="B13" s="22" t="s">
        <v>278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2:14" x14ac:dyDescent="0.3">
      <c r="B14" t="s">
        <v>248</v>
      </c>
      <c r="C14" s="63">
        <v>-8124</v>
      </c>
      <c r="D14" s="63">
        <v>-13876</v>
      </c>
      <c r="E14" s="63">
        <v>-18863</v>
      </c>
      <c r="F14" s="63">
        <v>-26975</v>
      </c>
      <c r="G14" s="63">
        <v>-31962</v>
      </c>
      <c r="H14" s="63">
        <v>-31503</v>
      </c>
      <c r="I14" s="63">
        <v>-16072</v>
      </c>
      <c r="J14" s="63">
        <v>-35079</v>
      </c>
      <c r="K14" s="63">
        <v>-35304</v>
      </c>
      <c r="L14" s="63">
        <v>-29702</v>
      </c>
      <c r="M14" s="63">
        <v>-20205</v>
      </c>
      <c r="N14" s="63">
        <v>-15168</v>
      </c>
    </row>
    <row r="15" spans="2:14" x14ac:dyDescent="0.3">
      <c r="B15" t="s">
        <v>249</v>
      </c>
      <c r="C15">
        <v>11</v>
      </c>
      <c r="D15">
        <v>93</v>
      </c>
      <c r="E15">
        <v>37</v>
      </c>
      <c r="F15">
        <v>50</v>
      </c>
      <c r="G15">
        <v>74</v>
      </c>
      <c r="H15">
        <v>59</v>
      </c>
      <c r="I15">
        <v>53</v>
      </c>
      <c r="J15">
        <v>30</v>
      </c>
      <c r="K15">
        <v>67</v>
      </c>
      <c r="L15">
        <v>171</v>
      </c>
      <c r="M15">
        <v>351</v>
      </c>
      <c r="N15">
        <v>230</v>
      </c>
    </row>
    <row r="16" spans="2:14" x14ac:dyDescent="0.3">
      <c r="B16" t="s">
        <v>250</v>
      </c>
      <c r="C16">
        <v>-147</v>
      </c>
      <c r="D16" s="63">
        <v>-5857</v>
      </c>
      <c r="E16">
        <v>73</v>
      </c>
      <c r="F16">
        <v>-429</v>
      </c>
      <c r="G16" s="63">
        <v>-5461</v>
      </c>
      <c r="H16" s="63">
        <v>-4728</v>
      </c>
      <c r="I16">
        <v>-6</v>
      </c>
      <c r="J16">
        <v>-329</v>
      </c>
      <c r="K16">
        <v>-130</v>
      </c>
      <c r="L16" s="63">
        <v>-1439</v>
      </c>
      <c r="M16" s="63">
        <v>-7530</v>
      </c>
      <c r="N16" s="63">
        <v>-3008</v>
      </c>
    </row>
    <row r="17" spans="2:14" x14ac:dyDescent="0.3">
      <c r="B17" t="s">
        <v>251</v>
      </c>
      <c r="C17">
        <v>7</v>
      </c>
      <c r="D17">
        <v>84</v>
      </c>
      <c r="E17">
        <v>34</v>
      </c>
      <c r="F17">
        <v>4</v>
      </c>
      <c r="G17">
        <v>42</v>
      </c>
      <c r="H17">
        <v>89</v>
      </c>
      <c r="I17" s="63">
        <v>1965</v>
      </c>
      <c r="J17" s="63">
        <v>2381</v>
      </c>
      <c r="K17" s="63">
        <v>5644</v>
      </c>
      <c r="L17">
        <v>21</v>
      </c>
      <c r="M17">
        <v>226</v>
      </c>
      <c r="N17">
        <v>104</v>
      </c>
    </row>
    <row r="18" spans="2:14" x14ac:dyDescent="0.3">
      <c r="B18" t="s">
        <v>252</v>
      </c>
      <c r="C18">
        <v>314</v>
      </c>
      <c r="D18">
        <v>467</v>
      </c>
      <c r="E18">
        <v>713</v>
      </c>
      <c r="F18">
        <v>653</v>
      </c>
      <c r="G18">
        <v>698</v>
      </c>
      <c r="H18">
        <v>731</v>
      </c>
      <c r="I18">
        <v>638</v>
      </c>
      <c r="J18">
        <v>690</v>
      </c>
      <c r="K18">
        <v>761</v>
      </c>
      <c r="L18" s="63">
        <v>1104</v>
      </c>
      <c r="M18">
        <v>428</v>
      </c>
      <c r="N18">
        <v>653</v>
      </c>
    </row>
    <row r="19" spans="2:14" x14ac:dyDescent="0.3">
      <c r="B19" t="s">
        <v>253</v>
      </c>
      <c r="C19">
        <v>98</v>
      </c>
      <c r="D19">
        <v>70</v>
      </c>
      <c r="E19">
        <v>95</v>
      </c>
      <c r="F19">
        <v>40</v>
      </c>
      <c r="G19">
        <v>80</v>
      </c>
      <c r="H19">
        <v>58</v>
      </c>
      <c r="I19">
        <v>620</v>
      </c>
      <c r="J19" s="63">
        <v>1797</v>
      </c>
      <c r="K19">
        <v>232</v>
      </c>
      <c r="L19">
        <v>21</v>
      </c>
      <c r="M19">
        <v>18</v>
      </c>
      <c r="N19">
        <v>32</v>
      </c>
    </row>
    <row r="20" spans="2:14" x14ac:dyDescent="0.3">
      <c r="B20" t="s">
        <v>254</v>
      </c>
      <c r="C20">
        <v>-70</v>
      </c>
      <c r="D20">
        <v>-304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 x14ac:dyDescent="0.3">
      <c r="B21" t="s">
        <v>255</v>
      </c>
      <c r="C21">
        <v>-4</v>
      </c>
      <c r="D21">
        <v>-9</v>
      </c>
      <c r="E21">
        <v>0</v>
      </c>
      <c r="F21">
        <v>0</v>
      </c>
      <c r="G21">
        <v>-160</v>
      </c>
      <c r="H21">
        <v>0</v>
      </c>
      <c r="I21">
        <v>-107</v>
      </c>
      <c r="J21">
        <v>-4</v>
      </c>
      <c r="K21">
        <v>-9</v>
      </c>
      <c r="L21">
        <v>-606</v>
      </c>
      <c r="M21">
        <v>-10</v>
      </c>
      <c r="N21">
        <v>0</v>
      </c>
    </row>
    <row r="22" spans="2:14" x14ac:dyDescent="0.3">
      <c r="B22" t="s">
        <v>256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14</v>
      </c>
      <c r="K22">
        <v>533</v>
      </c>
      <c r="L22">
        <v>0</v>
      </c>
      <c r="M22">
        <v>0</v>
      </c>
      <c r="N22">
        <v>0</v>
      </c>
    </row>
    <row r="23" spans="2:14" x14ac:dyDescent="0.3">
      <c r="B23" t="s">
        <v>257</v>
      </c>
      <c r="C23">
        <v>2</v>
      </c>
      <c r="D23">
        <v>0</v>
      </c>
      <c r="E23">
        <v>0</v>
      </c>
      <c r="F23">
        <v>-185</v>
      </c>
      <c r="G23">
        <v>0</v>
      </c>
      <c r="H23">
        <v>-111</v>
      </c>
      <c r="I23">
        <v>0</v>
      </c>
      <c r="J23">
        <v>0</v>
      </c>
      <c r="K23">
        <v>-8</v>
      </c>
      <c r="L23">
        <v>-27</v>
      </c>
      <c r="M23">
        <v>0</v>
      </c>
      <c r="N23">
        <v>-98</v>
      </c>
    </row>
    <row r="24" spans="2:14" x14ac:dyDescent="0.3">
      <c r="B24" t="s">
        <v>258</v>
      </c>
      <c r="C24">
        <v>5</v>
      </c>
      <c r="D24">
        <v>-3</v>
      </c>
      <c r="E24">
        <v>45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 x14ac:dyDescent="0.3">
      <c r="B25" t="s">
        <v>259</v>
      </c>
      <c r="C25">
        <v>884</v>
      </c>
      <c r="D25">
        <v>-129</v>
      </c>
      <c r="E25" s="63">
        <v>-5103</v>
      </c>
      <c r="F25" s="63">
        <v>-1149</v>
      </c>
      <c r="G25">
        <v>456</v>
      </c>
      <c r="H25" s="63">
        <v>-1289</v>
      </c>
      <c r="I25" s="63">
        <v>-26663</v>
      </c>
      <c r="J25" s="63">
        <v>5360</v>
      </c>
      <c r="K25" s="63">
        <v>7335</v>
      </c>
      <c r="L25" s="63">
        <v>-2659</v>
      </c>
      <c r="M25" s="63">
        <v>1051</v>
      </c>
      <c r="N25" s="63">
        <v>12813</v>
      </c>
    </row>
    <row r="26" spans="2:14" x14ac:dyDescent="0.3">
      <c r="B26" s="80" t="s">
        <v>284</v>
      </c>
      <c r="C26" s="117">
        <f>SUM(C14:C25)</f>
        <v>-7024</v>
      </c>
      <c r="D26" s="117">
        <f t="shared" ref="D26:N26" si="1">SUM(D14:D25)</f>
        <v>-19464</v>
      </c>
      <c r="E26" s="117">
        <f t="shared" si="1"/>
        <v>-22969</v>
      </c>
      <c r="F26" s="117">
        <f t="shared" si="1"/>
        <v>-27991</v>
      </c>
      <c r="G26" s="117">
        <f t="shared" si="1"/>
        <v>-36233</v>
      </c>
      <c r="H26" s="117">
        <f t="shared" si="1"/>
        <v>-36694</v>
      </c>
      <c r="I26" s="117">
        <f t="shared" si="1"/>
        <v>-39572</v>
      </c>
      <c r="J26" s="117">
        <f t="shared" si="1"/>
        <v>-25140</v>
      </c>
      <c r="K26" s="117">
        <f t="shared" si="1"/>
        <v>-20879</v>
      </c>
      <c r="L26" s="117">
        <f t="shared" si="1"/>
        <v>-33116</v>
      </c>
      <c r="M26" s="117">
        <f t="shared" si="1"/>
        <v>-25671</v>
      </c>
      <c r="N26" s="117">
        <f t="shared" si="1"/>
        <v>-4442</v>
      </c>
    </row>
    <row r="27" spans="2:14" x14ac:dyDescent="0.3">
      <c r="E27" s="63"/>
      <c r="F27" s="63"/>
      <c r="H27" s="63"/>
      <c r="I27" s="63"/>
      <c r="J27" s="63"/>
      <c r="K27" s="63"/>
      <c r="L27" s="63"/>
      <c r="M27" s="63"/>
      <c r="N27" s="63"/>
    </row>
    <row r="28" spans="2:14" x14ac:dyDescent="0.3">
      <c r="B28" s="22" t="s">
        <v>279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</row>
    <row r="29" spans="2:14" x14ac:dyDescent="0.3">
      <c r="B29" t="s">
        <v>262</v>
      </c>
      <c r="C29" s="63">
        <v>3258</v>
      </c>
      <c r="D29">
        <v>139</v>
      </c>
      <c r="E29">
        <v>1</v>
      </c>
      <c r="F29">
        <v>0</v>
      </c>
      <c r="G29">
        <v>0</v>
      </c>
      <c r="H29" s="63">
        <v>7433</v>
      </c>
      <c r="I29">
        <v>5</v>
      </c>
      <c r="J29">
        <v>0</v>
      </c>
      <c r="K29">
        <v>0</v>
      </c>
      <c r="L29" s="63">
        <v>3889</v>
      </c>
      <c r="M29" s="63">
        <v>2603</v>
      </c>
      <c r="N29">
        <v>19</v>
      </c>
    </row>
    <row r="30" spans="2:14" x14ac:dyDescent="0.3">
      <c r="B30" t="s">
        <v>263</v>
      </c>
      <c r="C30">
        <v>0</v>
      </c>
      <c r="D30">
        <v>0</v>
      </c>
      <c r="E30">
        <v>-97</v>
      </c>
      <c r="F30">
        <v>-658</v>
      </c>
      <c r="G30">
        <v>-744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3">
      <c r="B31" t="s">
        <v>264</v>
      </c>
      <c r="C31" s="63">
        <v>15530</v>
      </c>
      <c r="D31" s="63">
        <v>27462</v>
      </c>
      <c r="E31" s="63">
        <v>27863</v>
      </c>
      <c r="F31" s="63">
        <v>33258</v>
      </c>
      <c r="G31" s="63">
        <v>36363</v>
      </c>
      <c r="H31" s="63">
        <v>19519</v>
      </c>
      <c r="I31" s="63">
        <v>33390</v>
      </c>
      <c r="J31" s="63">
        <v>37482</v>
      </c>
      <c r="K31" s="63">
        <v>51128</v>
      </c>
      <c r="L31" s="63">
        <v>38297</v>
      </c>
      <c r="M31" s="63">
        <v>46641</v>
      </c>
      <c r="N31" s="63">
        <v>46578</v>
      </c>
    </row>
    <row r="32" spans="2:14" x14ac:dyDescent="0.3">
      <c r="B32" t="s">
        <v>265</v>
      </c>
      <c r="C32" s="63">
        <v>-16641</v>
      </c>
      <c r="D32" s="63">
        <v>-15010</v>
      </c>
      <c r="E32" s="63">
        <v>-20395</v>
      </c>
      <c r="F32" s="63">
        <v>-29141</v>
      </c>
      <c r="G32" s="63">
        <v>-23332</v>
      </c>
      <c r="H32" s="63">
        <v>-24924</v>
      </c>
      <c r="I32" s="63">
        <v>-21732</v>
      </c>
      <c r="J32" s="63">
        <v>-29964</v>
      </c>
      <c r="K32" s="63">
        <v>-35198</v>
      </c>
      <c r="L32" s="63">
        <v>-29847</v>
      </c>
      <c r="M32" s="63">
        <v>-29709</v>
      </c>
      <c r="N32" s="63">
        <v>-42816</v>
      </c>
    </row>
    <row r="33" spans="2:14" x14ac:dyDescent="0.3">
      <c r="B33" t="s">
        <v>266</v>
      </c>
      <c r="C33">
        <v>339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 x14ac:dyDescent="0.3">
      <c r="B34" t="s">
        <v>267</v>
      </c>
      <c r="C34" s="63">
        <v>-2469</v>
      </c>
      <c r="D34" s="63">
        <v>-3374</v>
      </c>
      <c r="E34" s="63">
        <v>-4666</v>
      </c>
      <c r="F34" s="63">
        <v>-6171</v>
      </c>
      <c r="G34" s="63">
        <v>-6307</v>
      </c>
      <c r="H34" s="63">
        <v>-5716</v>
      </c>
      <c r="I34" s="63">
        <v>-5336</v>
      </c>
      <c r="J34" s="63">
        <v>-5411</v>
      </c>
      <c r="K34" s="63">
        <v>-7005</v>
      </c>
      <c r="L34" s="63">
        <v>-7518</v>
      </c>
      <c r="M34" s="63">
        <v>-8123</v>
      </c>
      <c r="N34" s="63">
        <v>-9251</v>
      </c>
    </row>
    <row r="35" spans="2:14" x14ac:dyDescent="0.3">
      <c r="B35" t="s">
        <v>268</v>
      </c>
      <c r="C35" s="63">
        <v>-1020</v>
      </c>
      <c r="D35" s="63">
        <v>-1503</v>
      </c>
      <c r="E35" s="63">
        <v>-1551</v>
      </c>
      <c r="F35">
        <v>-722</v>
      </c>
      <c r="G35">
        <v>-720</v>
      </c>
      <c r="H35">
        <v>-108</v>
      </c>
      <c r="I35">
        <v>-121</v>
      </c>
      <c r="J35">
        <v>-96</v>
      </c>
      <c r="K35">
        <v>-95</v>
      </c>
      <c r="L35">
        <v>-57</v>
      </c>
      <c r="M35">
        <v>-30</v>
      </c>
      <c r="N35">
        <v>-100</v>
      </c>
    </row>
    <row r="36" spans="2:14" x14ac:dyDescent="0.3">
      <c r="B36" t="s">
        <v>269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63">
        <v>-1346</v>
      </c>
      <c r="M36" s="63">
        <v>-1477</v>
      </c>
      <c r="N36" s="63">
        <v>-1559</v>
      </c>
    </row>
    <row r="37" spans="2:14" x14ac:dyDescent="0.3">
      <c r="B37" t="s">
        <v>270</v>
      </c>
      <c r="C37">
        <v>-399</v>
      </c>
      <c r="D37" s="63">
        <v>-1147</v>
      </c>
      <c r="E37" s="63">
        <v>-2849</v>
      </c>
      <c r="F37">
        <v>-450</v>
      </c>
      <c r="G37">
        <v>-57</v>
      </c>
      <c r="H37">
        <v>0</v>
      </c>
      <c r="I37">
        <v>0</v>
      </c>
      <c r="J37">
        <v>0</v>
      </c>
      <c r="K37">
        <v>0</v>
      </c>
      <c r="L37">
        <v>-29</v>
      </c>
      <c r="M37">
        <v>0</v>
      </c>
      <c r="N37" s="63">
        <v>3750</v>
      </c>
    </row>
    <row r="38" spans="2:14" x14ac:dyDescent="0.3">
      <c r="B38" s="80" t="s">
        <v>283</v>
      </c>
      <c r="C38" s="117">
        <f>SUM(C29:C37)</f>
        <v>-1402</v>
      </c>
      <c r="D38" s="117">
        <f t="shared" ref="D38:N38" si="2">SUM(D29:D37)</f>
        <v>6567</v>
      </c>
      <c r="E38" s="117">
        <f t="shared" si="2"/>
        <v>-1694</v>
      </c>
      <c r="F38" s="5">
        <f t="shared" si="2"/>
        <v>-3884</v>
      </c>
      <c r="G38" s="5">
        <f t="shared" si="2"/>
        <v>5203</v>
      </c>
      <c r="H38" s="5">
        <f t="shared" si="2"/>
        <v>-3796</v>
      </c>
      <c r="I38" s="5">
        <f t="shared" si="2"/>
        <v>6206</v>
      </c>
      <c r="J38" s="5">
        <f t="shared" si="2"/>
        <v>2011</v>
      </c>
      <c r="K38" s="5">
        <f t="shared" si="2"/>
        <v>8830</v>
      </c>
      <c r="L38" s="5">
        <f t="shared" si="2"/>
        <v>3389</v>
      </c>
      <c r="M38" s="5">
        <f t="shared" si="2"/>
        <v>9905</v>
      </c>
      <c r="N38" s="117">
        <f t="shared" si="2"/>
        <v>-3379</v>
      </c>
    </row>
    <row r="39" spans="2:14" ht="15" thickBot="1" x14ac:dyDescent="0.35">
      <c r="B39" s="22"/>
      <c r="C39" s="63"/>
      <c r="D39" s="63"/>
      <c r="E39" s="63"/>
      <c r="N39" s="63"/>
    </row>
    <row r="40" spans="2:14" ht="15" thickBot="1" x14ac:dyDescent="0.35">
      <c r="B40" s="119" t="s">
        <v>200</v>
      </c>
      <c r="C40" s="118">
        <v>2815</v>
      </c>
      <c r="D40" s="118">
        <v>5488</v>
      </c>
      <c r="E40" s="118">
        <v>-2499</v>
      </c>
      <c r="F40" s="118">
        <v>4277</v>
      </c>
      <c r="G40" s="118">
        <v>4500</v>
      </c>
      <c r="H40" s="118">
        <v>-2589</v>
      </c>
      <c r="I40" s="118">
        <v>-3167</v>
      </c>
      <c r="J40" s="119">
        <v>730</v>
      </c>
      <c r="K40" s="118">
        <v>6843</v>
      </c>
      <c r="L40" s="118">
        <v>-3092</v>
      </c>
      <c r="M40" s="118">
        <v>13232</v>
      </c>
      <c r="N40" s="118">
        <v>6459</v>
      </c>
    </row>
    <row r="41" spans="2:14" ht="15" thickTop="1" x14ac:dyDescent="0.3"/>
    <row r="44" spans="2:14" x14ac:dyDescent="0.3"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</row>
    <row r="45" spans="2:14" x14ac:dyDescent="0.3"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</row>
    <row r="46" spans="2:14" x14ac:dyDescent="0.3">
      <c r="B46" s="113" t="s">
        <v>196</v>
      </c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63"/>
      <c r="N46" s="63"/>
    </row>
    <row r="47" spans="2:14" x14ac:dyDescent="0.3">
      <c r="B47" s="87" t="s">
        <v>162</v>
      </c>
      <c r="C47" s="88">
        <v>41364</v>
      </c>
      <c r="D47" s="88">
        <v>41729</v>
      </c>
      <c r="E47" s="88">
        <v>42094</v>
      </c>
      <c r="F47" s="88">
        <v>42460</v>
      </c>
      <c r="G47" s="88">
        <v>42825</v>
      </c>
      <c r="H47" s="88">
        <v>43190</v>
      </c>
      <c r="I47" s="88">
        <v>43555</v>
      </c>
      <c r="J47" s="88">
        <v>43921</v>
      </c>
      <c r="K47" s="88">
        <v>44286</v>
      </c>
      <c r="L47" s="88">
        <v>44651</v>
      </c>
      <c r="M47" s="63"/>
      <c r="N47" s="63"/>
    </row>
    <row r="48" spans="2:14" x14ac:dyDescent="0.3">
      <c r="B48" s="114" t="s">
        <v>197</v>
      </c>
      <c r="C48" s="115">
        <v>22162.61</v>
      </c>
      <c r="D48" s="115">
        <v>36151.160000000003</v>
      </c>
      <c r="E48" s="115">
        <v>35531.26</v>
      </c>
      <c r="F48" s="115">
        <v>37899.54</v>
      </c>
      <c r="G48" s="115">
        <v>30199.25</v>
      </c>
      <c r="H48" s="115">
        <v>23857.42</v>
      </c>
      <c r="I48" s="115">
        <v>18890.75</v>
      </c>
      <c r="J48" s="115">
        <v>26632.94</v>
      </c>
      <c r="K48" s="115">
        <v>29000.51</v>
      </c>
      <c r="L48" s="115">
        <v>14282.83</v>
      </c>
      <c r="M48" s="63"/>
      <c r="N48" s="63"/>
    </row>
    <row r="49" spans="2:14" x14ac:dyDescent="0.3">
      <c r="B49" s="114" t="s">
        <v>198</v>
      </c>
      <c r="C49" s="115">
        <v>-22969.45</v>
      </c>
      <c r="D49" s="115">
        <v>-27990.91</v>
      </c>
      <c r="E49" s="115">
        <v>-36232.35</v>
      </c>
      <c r="F49" s="115">
        <v>-36693.9</v>
      </c>
      <c r="G49" s="115">
        <v>-39571.4</v>
      </c>
      <c r="H49" s="115">
        <v>-25139.14</v>
      </c>
      <c r="I49" s="115">
        <v>-20878.07</v>
      </c>
      <c r="J49" s="115">
        <v>-33114.550000000003</v>
      </c>
      <c r="K49" s="115">
        <v>-25672.5</v>
      </c>
      <c r="L49" s="115">
        <v>-4443.66</v>
      </c>
      <c r="M49" s="63"/>
      <c r="N49" s="63"/>
    </row>
    <row r="50" spans="2:14" x14ac:dyDescent="0.3">
      <c r="B50" s="114" t="s">
        <v>199</v>
      </c>
      <c r="C50" s="115">
        <v>-1692.08</v>
      </c>
      <c r="D50" s="115">
        <v>-3883.24</v>
      </c>
      <c r="E50" s="115">
        <v>5201.4399999999996</v>
      </c>
      <c r="F50" s="115">
        <v>-3795.12</v>
      </c>
      <c r="G50" s="115">
        <v>6205.3</v>
      </c>
      <c r="H50" s="115">
        <v>2011.71</v>
      </c>
      <c r="I50" s="115">
        <v>8830.3700000000008</v>
      </c>
      <c r="J50" s="115">
        <v>3389.61</v>
      </c>
      <c r="K50" s="115">
        <v>9904.2000000000007</v>
      </c>
      <c r="L50" s="115">
        <v>-3380.17</v>
      </c>
    </row>
    <row r="51" spans="2:14" x14ac:dyDescent="0.3">
      <c r="B51" s="114" t="s">
        <v>200</v>
      </c>
      <c r="C51" s="115">
        <v>-2498.92</v>
      </c>
      <c r="D51" s="115">
        <v>4277.01</v>
      </c>
      <c r="E51" s="115">
        <v>4500.3500000000004</v>
      </c>
      <c r="F51" s="115">
        <v>-2589.48</v>
      </c>
      <c r="G51" s="115">
        <v>-3166.85</v>
      </c>
      <c r="H51" s="115">
        <v>729.99</v>
      </c>
      <c r="I51" s="115">
        <v>6843.05</v>
      </c>
      <c r="J51" s="115">
        <v>-3092</v>
      </c>
      <c r="K51" s="115">
        <v>13232.21</v>
      </c>
      <c r="L51" s="115">
        <v>6459</v>
      </c>
    </row>
  </sheetData>
  <mergeCells count="1">
    <mergeCell ref="B44:N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54CB-0533-4EDC-85D2-91A4EFBE5897}">
  <dimension ref="B2:N71"/>
  <sheetViews>
    <sheetView showGridLines="0" workbookViewId="0">
      <pane ySplit="2" topLeftCell="A33" activePane="bottomLeft" state="frozen"/>
      <selection pane="bottomLeft" activeCell="B43" sqref="B43:N71"/>
    </sheetView>
  </sheetViews>
  <sheetFormatPr defaultRowHeight="14.4" x14ac:dyDescent="0.3"/>
  <cols>
    <col min="1" max="1" width="1.88671875" customWidth="1"/>
    <col min="2" max="2" width="27.5546875" bestFit="1" customWidth="1"/>
    <col min="3" max="6" width="7.33203125" bestFit="1" customWidth="1"/>
    <col min="7" max="14" width="8.109375" bestFit="1" customWidth="1"/>
  </cols>
  <sheetData>
    <row r="2" spans="2:14" x14ac:dyDescent="0.3">
      <c r="B2" s="64" t="s">
        <v>97</v>
      </c>
      <c r="C2" s="65">
        <v>40969</v>
      </c>
      <c r="D2" s="65">
        <v>41334</v>
      </c>
      <c r="E2" s="65">
        <v>41699</v>
      </c>
      <c r="F2" s="65">
        <v>42064</v>
      </c>
      <c r="G2" s="65">
        <v>42430</v>
      </c>
      <c r="H2" s="65">
        <v>42795</v>
      </c>
      <c r="I2" s="65">
        <v>43160</v>
      </c>
      <c r="J2" s="65">
        <v>43525</v>
      </c>
      <c r="K2" s="65">
        <v>43891</v>
      </c>
      <c r="L2" s="65">
        <v>44256</v>
      </c>
      <c r="M2" s="65">
        <v>44621</v>
      </c>
      <c r="N2" s="65">
        <v>44986</v>
      </c>
    </row>
    <row r="3" spans="2:14" x14ac:dyDescent="0.3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2:14" x14ac:dyDescent="0.3">
      <c r="B4" t="s">
        <v>105</v>
      </c>
      <c r="C4" s="76">
        <v>96</v>
      </c>
      <c r="D4" s="76">
        <v>96</v>
      </c>
      <c r="E4" s="76">
        <v>96</v>
      </c>
      <c r="F4" s="76">
        <v>96</v>
      </c>
      <c r="G4" s="76">
        <v>96</v>
      </c>
      <c r="H4" s="76">
        <v>96</v>
      </c>
      <c r="I4" s="76">
        <v>96</v>
      </c>
      <c r="J4" s="76">
        <v>96</v>
      </c>
      <c r="K4" s="76">
        <v>96</v>
      </c>
      <c r="L4" s="76">
        <v>96</v>
      </c>
      <c r="M4" s="76">
        <v>96</v>
      </c>
      <c r="N4" s="76">
        <v>96</v>
      </c>
    </row>
    <row r="5" spans="2:14" x14ac:dyDescent="0.3">
      <c r="B5" t="s">
        <v>106</v>
      </c>
      <c r="C5" s="73">
        <v>2653</v>
      </c>
      <c r="D5" s="73">
        <v>3288</v>
      </c>
      <c r="E5" s="73">
        <v>3943</v>
      </c>
      <c r="F5" s="73">
        <v>4646</v>
      </c>
      <c r="G5" s="73">
        <v>6429</v>
      </c>
      <c r="H5" s="73">
        <v>7508</v>
      </c>
      <c r="I5" s="73">
        <v>8314</v>
      </c>
      <c r="J5" s="73">
        <v>9375</v>
      </c>
      <c r="K5" s="73">
        <v>10034</v>
      </c>
      <c r="L5" s="73">
        <v>12710</v>
      </c>
      <c r="M5" s="73">
        <v>13716</v>
      </c>
      <c r="N5" s="73">
        <v>15896</v>
      </c>
    </row>
    <row r="6" spans="2:14" x14ac:dyDescent="0.3">
      <c r="B6" s="22" t="s">
        <v>137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2:14" x14ac:dyDescent="0.3">
      <c r="B7" t="s">
        <v>107</v>
      </c>
      <c r="C7" s="76">
        <v>55</v>
      </c>
      <c r="D7" s="76">
        <v>47</v>
      </c>
      <c r="E7" s="76">
        <v>41</v>
      </c>
      <c r="F7" s="76">
        <v>78</v>
      </c>
      <c r="G7" s="76">
        <v>73</v>
      </c>
      <c r="H7" s="76">
        <v>41</v>
      </c>
      <c r="I7" s="76">
        <v>28</v>
      </c>
      <c r="J7" s="76">
        <v>19</v>
      </c>
      <c r="K7" s="76">
        <v>19</v>
      </c>
      <c r="L7" s="76">
        <v>15</v>
      </c>
      <c r="M7" s="76">
        <v>45</v>
      </c>
      <c r="N7" s="76">
        <v>76</v>
      </c>
    </row>
    <row r="8" spans="2:14" x14ac:dyDescent="0.3">
      <c r="B8" t="s">
        <v>108</v>
      </c>
      <c r="C8" s="73">
        <v>280</v>
      </c>
      <c r="D8" s="73">
        <v>190</v>
      </c>
      <c r="E8" s="73">
        <v>199</v>
      </c>
      <c r="F8" s="73">
        <v>332</v>
      </c>
      <c r="G8" s="73">
        <v>231</v>
      </c>
      <c r="H8" s="73">
        <v>504</v>
      </c>
      <c r="I8" s="73">
        <v>492</v>
      </c>
      <c r="J8" s="73">
        <v>597</v>
      </c>
      <c r="K8" s="73">
        <v>321</v>
      </c>
      <c r="L8" s="73">
        <v>334</v>
      </c>
      <c r="M8" s="73">
        <v>731</v>
      </c>
      <c r="N8" s="73">
        <v>896</v>
      </c>
    </row>
    <row r="9" spans="2:14" x14ac:dyDescent="0.3">
      <c r="B9" t="s">
        <v>109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693</v>
      </c>
      <c r="K9" s="73">
        <v>764</v>
      </c>
      <c r="L9" s="73">
        <v>745</v>
      </c>
      <c r="M9" s="73">
        <v>811</v>
      </c>
      <c r="N9" s="73">
        <v>960</v>
      </c>
    </row>
    <row r="10" spans="2:14" x14ac:dyDescent="0.3">
      <c r="B10" t="s">
        <v>110</v>
      </c>
      <c r="C10" s="73">
        <v>6</v>
      </c>
      <c r="D10" s="73">
        <v>14</v>
      </c>
      <c r="E10" s="73">
        <v>9</v>
      </c>
      <c r="F10" s="73">
        <v>8</v>
      </c>
      <c r="G10" s="73">
        <v>20</v>
      </c>
      <c r="H10" s="73">
        <v>15</v>
      </c>
      <c r="I10" s="73">
        <v>13</v>
      </c>
      <c r="J10" s="73">
        <v>11</v>
      </c>
      <c r="K10" s="73">
        <v>15</v>
      </c>
      <c r="L10" s="73">
        <v>0</v>
      </c>
      <c r="M10" s="73">
        <v>0</v>
      </c>
      <c r="N10" s="73">
        <v>0</v>
      </c>
    </row>
    <row r="11" spans="2:14" x14ac:dyDescent="0.3">
      <c r="B11" s="22" t="s">
        <v>111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2:14" x14ac:dyDescent="0.3">
      <c r="B12" t="s">
        <v>112</v>
      </c>
      <c r="C12" s="76">
        <v>137</v>
      </c>
      <c r="D12" s="76">
        <v>161</v>
      </c>
      <c r="E12" s="76">
        <v>246</v>
      </c>
      <c r="F12" s="76">
        <v>264</v>
      </c>
      <c r="G12" s="76">
        <v>384</v>
      </c>
      <c r="H12" s="76">
        <v>375</v>
      </c>
      <c r="I12" s="76">
        <v>328</v>
      </c>
      <c r="J12" s="76">
        <v>361</v>
      </c>
      <c r="K12" s="76">
        <v>404</v>
      </c>
      <c r="L12" s="76">
        <v>423</v>
      </c>
      <c r="M12" s="76">
        <v>388</v>
      </c>
      <c r="N12" s="76">
        <v>454</v>
      </c>
    </row>
    <row r="13" spans="2:14" x14ac:dyDescent="0.3">
      <c r="B13" t="s">
        <v>113</v>
      </c>
      <c r="C13" s="73">
        <v>1333</v>
      </c>
      <c r="D13" s="73">
        <v>1442</v>
      </c>
      <c r="E13" s="73">
        <v>1746</v>
      </c>
      <c r="F13" s="73">
        <v>1549</v>
      </c>
      <c r="G13" s="73">
        <v>1565</v>
      </c>
      <c r="H13" s="73">
        <v>1923</v>
      </c>
      <c r="I13" s="73">
        <v>2160</v>
      </c>
      <c r="J13" s="73">
        <v>2394</v>
      </c>
      <c r="K13" s="73">
        <v>2137</v>
      </c>
      <c r="L13" s="73">
        <v>3379</v>
      </c>
      <c r="M13" s="73">
        <v>4164</v>
      </c>
      <c r="N13" s="73">
        <v>3635</v>
      </c>
    </row>
    <row r="14" spans="2:14" x14ac:dyDescent="0.3">
      <c r="B14" t="s">
        <v>114</v>
      </c>
      <c r="C14" s="73">
        <v>0</v>
      </c>
      <c r="D14" s="73">
        <v>0</v>
      </c>
      <c r="E14" s="73">
        <v>0</v>
      </c>
      <c r="F14" s="73">
        <v>5</v>
      </c>
      <c r="G14" s="73">
        <v>12</v>
      </c>
      <c r="H14" s="73">
        <v>17</v>
      </c>
      <c r="I14" s="73">
        <v>16</v>
      </c>
      <c r="J14" s="73">
        <v>13</v>
      </c>
      <c r="K14" s="73">
        <v>29</v>
      </c>
      <c r="L14" s="73">
        <v>41</v>
      </c>
      <c r="M14" s="73">
        <v>76</v>
      </c>
      <c r="N14" s="73">
        <v>108</v>
      </c>
    </row>
    <row r="15" spans="2:14" x14ac:dyDescent="0.3">
      <c r="B15" t="s">
        <v>115</v>
      </c>
      <c r="C15" s="73">
        <v>1153</v>
      </c>
      <c r="D15" s="73">
        <v>1547</v>
      </c>
      <c r="E15" s="73">
        <v>1795</v>
      </c>
      <c r="F15" s="73">
        <v>1937</v>
      </c>
      <c r="G15" s="73">
        <v>1750</v>
      </c>
      <c r="H15" s="73">
        <v>1925</v>
      </c>
      <c r="I15" s="73">
        <v>2316</v>
      </c>
      <c r="J15" s="73">
        <v>2690</v>
      </c>
      <c r="K15" s="73">
        <v>2320</v>
      </c>
      <c r="L15" s="73">
        <v>2613</v>
      </c>
      <c r="M15" s="73">
        <v>2932</v>
      </c>
      <c r="N15" s="73">
        <v>3657</v>
      </c>
    </row>
    <row r="16" spans="2:14" ht="15" thickBot="1" x14ac:dyDescent="0.35">
      <c r="B16" s="69" t="s">
        <v>116</v>
      </c>
      <c r="C16" s="75">
        <v>5712</v>
      </c>
      <c r="D16" s="75">
        <v>6784</v>
      </c>
      <c r="E16" s="75">
        <v>8075</v>
      </c>
      <c r="F16" s="75">
        <v>8914</v>
      </c>
      <c r="G16" s="75">
        <v>10559</v>
      </c>
      <c r="H16" s="75">
        <v>12405</v>
      </c>
      <c r="I16" s="75">
        <v>13763</v>
      </c>
      <c r="J16" s="75">
        <v>16249</v>
      </c>
      <c r="K16" s="75">
        <v>16138</v>
      </c>
      <c r="L16" s="75">
        <v>20355</v>
      </c>
      <c r="M16" s="75">
        <v>22958</v>
      </c>
      <c r="N16" s="75">
        <v>25779</v>
      </c>
    </row>
    <row r="17" spans="2:14" ht="15" thickTop="1" x14ac:dyDescent="0.3">
      <c r="B17" s="22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</row>
    <row r="18" spans="2:14" x14ac:dyDescent="0.3">
      <c r="B18" s="22" t="s">
        <v>117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</row>
    <row r="19" spans="2:14" x14ac:dyDescent="0.3">
      <c r="B19" t="s">
        <v>118</v>
      </c>
      <c r="C19" s="76">
        <v>225</v>
      </c>
      <c r="D19" s="76">
        <v>238</v>
      </c>
      <c r="E19" s="76">
        <v>247</v>
      </c>
      <c r="F19" s="76">
        <v>251</v>
      </c>
      <c r="G19" s="76">
        <v>429</v>
      </c>
      <c r="H19" s="76">
        <v>408</v>
      </c>
      <c r="I19" s="76">
        <v>586</v>
      </c>
      <c r="J19" s="76">
        <v>605</v>
      </c>
      <c r="K19" s="76">
        <v>640</v>
      </c>
      <c r="L19" s="76">
        <v>644</v>
      </c>
      <c r="M19" s="76">
        <v>644</v>
      </c>
      <c r="N19" s="76">
        <v>799</v>
      </c>
    </row>
    <row r="20" spans="2:14" x14ac:dyDescent="0.3">
      <c r="B20" t="s">
        <v>119</v>
      </c>
      <c r="C20" s="73">
        <v>573</v>
      </c>
      <c r="D20" s="73">
        <v>874</v>
      </c>
      <c r="E20" s="73">
        <v>931</v>
      </c>
      <c r="F20" s="73">
        <v>962</v>
      </c>
      <c r="G20" s="73">
        <v>923</v>
      </c>
      <c r="H20" s="73">
        <v>931</v>
      </c>
      <c r="I20" s="73">
        <v>957</v>
      </c>
      <c r="J20" s="73">
        <v>2402</v>
      </c>
      <c r="K20" s="73">
        <v>2257</v>
      </c>
      <c r="L20" s="73">
        <v>2249</v>
      </c>
      <c r="M20" s="73">
        <v>2325</v>
      </c>
      <c r="N20" s="73">
        <v>2617</v>
      </c>
    </row>
    <row r="21" spans="2:14" x14ac:dyDescent="0.3">
      <c r="B21" t="s">
        <v>120</v>
      </c>
      <c r="C21" s="73">
        <v>1070</v>
      </c>
      <c r="D21" s="73">
        <v>1956</v>
      </c>
      <c r="E21" s="73">
        <v>2054</v>
      </c>
      <c r="F21" s="73">
        <v>2132</v>
      </c>
      <c r="G21" s="73">
        <v>1793</v>
      </c>
      <c r="H21" s="73">
        <v>1980</v>
      </c>
      <c r="I21" s="73">
        <v>2157</v>
      </c>
      <c r="J21" s="73">
        <v>4006</v>
      </c>
      <c r="K21" s="73">
        <v>4208</v>
      </c>
      <c r="L21" s="73">
        <v>4340</v>
      </c>
      <c r="M21" s="73">
        <v>4531</v>
      </c>
      <c r="N21" s="73">
        <v>4825</v>
      </c>
    </row>
    <row r="22" spans="2:14" x14ac:dyDescent="0.3">
      <c r="B22" t="s">
        <v>121</v>
      </c>
      <c r="C22" s="73">
        <v>79</v>
      </c>
      <c r="D22" s="73">
        <v>137</v>
      </c>
      <c r="E22" s="73">
        <v>155</v>
      </c>
      <c r="F22" s="73">
        <v>171</v>
      </c>
      <c r="G22" s="73">
        <v>97</v>
      </c>
      <c r="H22" s="73">
        <v>119</v>
      </c>
      <c r="I22" s="73">
        <v>200</v>
      </c>
      <c r="J22" s="73">
        <v>221</v>
      </c>
      <c r="K22" s="73">
        <v>241</v>
      </c>
      <c r="L22" s="73">
        <v>243</v>
      </c>
      <c r="M22" s="73">
        <v>253</v>
      </c>
      <c r="N22" s="73">
        <v>270</v>
      </c>
    </row>
    <row r="23" spans="2:14" x14ac:dyDescent="0.3">
      <c r="B23" t="s">
        <v>122</v>
      </c>
      <c r="C23" s="73">
        <v>50</v>
      </c>
      <c r="D23" s="73">
        <v>57</v>
      </c>
      <c r="E23" s="73">
        <v>71</v>
      </c>
      <c r="F23" s="73">
        <v>83</v>
      </c>
      <c r="G23" s="73">
        <v>49</v>
      </c>
      <c r="H23" s="73">
        <v>59</v>
      </c>
      <c r="I23" s="73">
        <v>72</v>
      </c>
      <c r="J23" s="73">
        <v>88</v>
      </c>
      <c r="K23" s="73">
        <v>94</v>
      </c>
      <c r="L23" s="73">
        <v>99</v>
      </c>
      <c r="M23" s="73">
        <v>113</v>
      </c>
      <c r="N23" s="73">
        <v>146</v>
      </c>
    </row>
    <row r="24" spans="2:14" x14ac:dyDescent="0.3">
      <c r="B24" t="s">
        <v>123</v>
      </c>
      <c r="C24" s="73">
        <v>11</v>
      </c>
      <c r="D24" s="73">
        <v>11</v>
      </c>
      <c r="E24" s="73">
        <v>14</v>
      </c>
      <c r="F24" s="73">
        <v>18</v>
      </c>
      <c r="G24" s="73">
        <v>11</v>
      </c>
      <c r="H24" s="73">
        <v>14</v>
      </c>
      <c r="I24" s="73">
        <v>27</v>
      </c>
      <c r="J24" s="73">
        <v>47</v>
      </c>
      <c r="K24" s="73">
        <v>43</v>
      </c>
      <c r="L24" s="73">
        <v>38</v>
      </c>
      <c r="M24" s="73">
        <v>32</v>
      </c>
      <c r="N24" s="73">
        <v>30</v>
      </c>
    </row>
    <row r="25" spans="2:14" x14ac:dyDescent="0.3">
      <c r="B25" t="s">
        <v>124</v>
      </c>
      <c r="C25" s="73">
        <v>53</v>
      </c>
      <c r="D25" s="73">
        <v>57</v>
      </c>
      <c r="E25" s="73">
        <v>203</v>
      </c>
      <c r="F25" s="73">
        <v>351</v>
      </c>
      <c r="G25" s="73">
        <v>339</v>
      </c>
      <c r="H25" s="73">
        <v>276</v>
      </c>
      <c r="I25" s="73">
        <v>468</v>
      </c>
      <c r="J25" s="73">
        <v>512</v>
      </c>
      <c r="K25" s="73">
        <v>505</v>
      </c>
      <c r="L25" s="73">
        <v>476</v>
      </c>
      <c r="M25" s="73">
        <v>345</v>
      </c>
      <c r="N25" s="73">
        <v>330</v>
      </c>
    </row>
    <row r="26" spans="2:14" x14ac:dyDescent="0.3">
      <c r="B26" t="s">
        <v>125</v>
      </c>
      <c r="C26" s="73">
        <v>84</v>
      </c>
      <c r="D26" s="73">
        <v>99</v>
      </c>
      <c r="E26" s="73">
        <v>128</v>
      </c>
      <c r="F26" s="73">
        <v>145</v>
      </c>
      <c r="G26" s="73">
        <v>103</v>
      </c>
      <c r="H26" s="73">
        <v>128</v>
      </c>
      <c r="I26" s="73">
        <v>238</v>
      </c>
      <c r="J26" s="73">
        <v>261</v>
      </c>
      <c r="K26" s="73">
        <v>293</v>
      </c>
      <c r="L26" s="73">
        <v>302</v>
      </c>
      <c r="M26" s="73">
        <v>294</v>
      </c>
      <c r="N26" s="73">
        <v>289</v>
      </c>
    </row>
    <row r="27" spans="2:14" x14ac:dyDescent="0.3">
      <c r="B27" s="22" t="s">
        <v>126</v>
      </c>
      <c r="C27" s="78">
        <v>2146</v>
      </c>
      <c r="D27" s="78">
        <v>3429</v>
      </c>
      <c r="E27" s="78">
        <v>3804</v>
      </c>
      <c r="F27" s="78">
        <v>4112</v>
      </c>
      <c r="G27" s="78">
        <v>3744</v>
      </c>
      <c r="H27" s="78">
        <v>3914</v>
      </c>
      <c r="I27" s="78">
        <v>4705</v>
      </c>
      <c r="J27" s="78">
        <v>8141</v>
      </c>
      <c r="K27" s="78">
        <v>8282</v>
      </c>
      <c r="L27" s="78">
        <v>8392</v>
      </c>
      <c r="M27" s="78">
        <v>8538</v>
      </c>
      <c r="N27" s="78">
        <v>9307</v>
      </c>
    </row>
    <row r="28" spans="2:14" x14ac:dyDescent="0.3">
      <c r="B28" s="22" t="s">
        <v>127</v>
      </c>
      <c r="C28" s="74">
        <v>834</v>
      </c>
      <c r="D28" s="74">
        <v>979</v>
      </c>
      <c r="E28" s="74">
        <v>1223</v>
      </c>
      <c r="F28" s="74">
        <v>1438</v>
      </c>
      <c r="G28" s="74">
        <v>275</v>
      </c>
      <c r="H28" s="74">
        <v>610</v>
      </c>
      <c r="I28" s="74">
        <v>973</v>
      </c>
      <c r="J28" s="74">
        <v>1592</v>
      </c>
      <c r="K28" s="74">
        <v>2010</v>
      </c>
      <c r="L28" s="74">
        <v>2533</v>
      </c>
      <c r="M28" s="74">
        <v>3019</v>
      </c>
      <c r="N28" s="74">
        <v>3536</v>
      </c>
    </row>
    <row r="29" spans="2:14" x14ac:dyDescent="0.3">
      <c r="B29" s="80" t="s">
        <v>138</v>
      </c>
      <c r="C29" s="77">
        <f>C27-C28</f>
        <v>1312</v>
      </c>
      <c r="D29" s="77">
        <f t="shared" ref="D29:N29" si="0">D27-D28</f>
        <v>2450</v>
      </c>
      <c r="E29" s="77">
        <f t="shared" si="0"/>
        <v>2581</v>
      </c>
      <c r="F29" s="77">
        <f t="shared" si="0"/>
        <v>2674</v>
      </c>
      <c r="G29" s="77">
        <f t="shared" si="0"/>
        <v>3469</v>
      </c>
      <c r="H29" s="77">
        <f t="shared" si="0"/>
        <v>3304</v>
      </c>
      <c r="I29" s="77">
        <f t="shared" si="0"/>
        <v>3732</v>
      </c>
      <c r="J29" s="77">
        <f t="shared" si="0"/>
        <v>6549</v>
      </c>
      <c r="K29" s="77">
        <f t="shared" si="0"/>
        <v>6272</v>
      </c>
      <c r="L29" s="77">
        <f t="shared" si="0"/>
        <v>5859</v>
      </c>
      <c r="M29" s="77">
        <f t="shared" si="0"/>
        <v>5519</v>
      </c>
      <c r="N29" s="77">
        <f t="shared" si="0"/>
        <v>5771</v>
      </c>
    </row>
    <row r="30" spans="2:14" x14ac:dyDescent="0.3">
      <c r="B30" s="22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2:14" x14ac:dyDescent="0.3">
      <c r="B31" s="22" t="s">
        <v>128</v>
      </c>
      <c r="C31" s="76">
        <v>617</v>
      </c>
      <c r="D31" s="76">
        <v>59</v>
      </c>
      <c r="E31" s="76">
        <v>72</v>
      </c>
      <c r="F31" s="76">
        <v>196</v>
      </c>
      <c r="G31" s="76">
        <v>107</v>
      </c>
      <c r="H31" s="76">
        <v>258</v>
      </c>
      <c r="I31" s="76">
        <v>1405</v>
      </c>
      <c r="J31" s="76">
        <v>210</v>
      </c>
      <c r="K31" s="76">
        <v>140</v>
      </c>
      <c r="L31" s="76">
        <v>183</v>
      </c>
      <c r="M31" s="76">
        <v>426</v>
      </c>
      <c r="N31" s="76">
        <v>1020</v>
      </c>
    </row>
    <row r="32" spans="2:14" x14ac:dyDescent="0.3">
      <c r="B32" s="22" t="s">
        <v>129</v>
      </c>
      <c r="C32" s="73">
        <v>355</v>
      </c>
      <c r="D32" s="73">
        <v>296</v>
      </c>
      <c r="E32" s="73">
        <v>1424</v>
      </c>
      <c r="F32" s="73">
        <v>1588</v>
      </c>
      <c r="G32" s="73">
        <v>2712</v>
      </c>
      <c r="H32" s="73">
        <v>2652</v>
      </c>
      <c r="I32" s="73">
        <v>2141</v>
      </c>
      <c r="J32" s="73">
        <v>2569</v>
      </c>
      <c r="K32" s="73">
        <v>2019</v>
      </c>
      <c r="L32" s="73">
        <v>4737</v>
      </c>
      <c r="M32" s="73">
        <v>3248</v>
      </c>
      <c r="N32" s="73">
        <v>4262</v>
      </c>
    </row>
    <row r="33" spans="2:14" x14ac:dyDescent="0.3">
      <c r="B33" s="22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 spans="2:14" x14ac:dyDescent="0.3">
      <c r="B34" s="22" t="s">
        <v>130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  <row r="35" spans="2:14" x14ac:dyDescent="0.3">
      <c r="B35" t="s">
        <v>131</v>
      </c>
      <c r="C35" s="79">
        <v>1599</v>
      </c>
      <c r="D35" s="79">
        <v>1830</v>
      </c>
      <c r="E35" s="79">
        <v>2070</v>
      </c>
      <c r="F35" s="79">
        <v>2259</v>
      </c>
      <c r="G35" s="79">
        <v>1998</v>
      </c>
      <c r="H35" s="79">
        <v>2627</v>
      </c>
      <c r="I35" s="79">
        <v>2658</v>
      </c>
      <c r="J35" s="79">
        <v>3150</v>
      </c>
      <c r="K35" s="79">
        <v>3390</v>
      </c>
      <c r="L35" s="79">
        <v>3799</v>
      </c>
      <c r="M35" s="79">
        <v>6153</v>
      </c>
      <c r="N35" s="79">
        <v>6211</v>
      </c>
    </row>
    <row r="36" spans="2:14" x14ac:dyDescent="0.3">
      <c r="B36" t="s">
        <v>132</v>
      </c>
      <c r="C36" s="71">
        <v>781</v>
      </c>
      <c r="D36" s="71">
        <v>981</v>
      </c>
      <c r="E36" s="71">
        <v>1110</v>
      </c>
      <c r="F36" s="71">
        <v>1182</v>
      </c>
      <c r="G36" s="71">
        <v>1187</v>
      </c>
      <c r="H36" s="71">
        <v>1447</v>
      </c>
      <c r="I36" s="71">
        <v>1731</v>
      </c>
      <c r="J36" s="71">
        <v>1907</v>
      </c>
      <c r="K36" s="71">
        <v>1795</v>
      </c>
      <c r="L36" s="71">
        <v>2602</v>
      </c>
      <c r="M36" s="71">
        <v>3871</v>
      </c>
      <c r="N36" s="71">
        <v>4637</v>
      </c>
    </row>
    <row r="37" spans="2:14" x14ac:dyDescent="0.3">
      <c r="B37" t="s">
        <v>133</v>
      </c>
      <c r="C37" s="71">
        <v>624</v>
      </c>
      <c r="D37" s="71">
        <v>737</v>
      </c>
      <c r="E37" s="71">
        <v>229</v>
      </c>
      <c r="F37" s="71">
        <v>204</v>
      </c>
      <c r="G37" s="71">
        <v>424</v>
      </c>
      <c r="H37" s="71">
        <v>801</v>
      </c>
      <c r="I37" s="71">
        <v>405</v>
      </c>
      <c r="J37" s="71">
        <v>445</v>
      </c>
      <c r="K37" s="71">
        <v>783</v>
      </c>
      <c r="L37" s="71">
        <v>611</v>
      </c>
      <c r="M37" s="71">
        <v>864</v>
      </c>
      <c r="N37" s="71">
        <v>844</v>
      </c>
    </row>
    <row r="38" spans="2:14" x14ac:dyDescent="0.3">
      <c r="B38" t="s">
        <v>134</v>
      </c>
      <c r="C38" s="71">
        <v>6</v>
      </c>
      <c r="D38" s="71">
        <v>4</v>
      </c>
      <c r="E38" s="71">
        <v>7</v>
      </c>
      <c r="F38" s="71">
        <v>9</v>
      </c>
      <c r="G38" s="71">
        <v>9</v>
      </c>
      <c r="H38" s="71">
        <v>14</v>
      </c>
      <c r="I38" s="71">
        <v>13</v>
      </c>
      <c r="J38" s="71">
        <v>16</v>
      </c>
      <c r="K38" s="71">
        <v>12</v>
      </c>
      <c r="L38" s="71">
        <v>11</v>
      </c>
      <c r="M38" s="71">
        <v>8</v>
      </c>
      <c r="N38" s="71">
        <v>12</v>
      </c>
    </row>
    <row r="39" spans="2:14" x14ac:dyDescent="0.3">
      <c r="B39" t="s">
        <v>135</v>
      </c>
      <c r="C39" s="71">
        <v>430</v>
      </c>
      <c r="D39" s="71">
        <v>436</v>
      </c>
      <c r="E39" s="71">
        <v>603</v>
      </c>
      <c r="F39" s="71">
        <v>817</v>
      </c>
      <c r="G39" s="71">
        <v>705</v>
      </c>
      <c r="H39" s="71">
        <v>1303</v>
      </c>
      <c r="I39" s="71">
        <v>1678</v>
      </c>
      <c r="J39" s="71">
        <v>1456</v>
      </c>
      <c r="K39" s="71">
        <v>1727</v>
      </c>
      <c r="L39" s="71">
        <v>2555</v>
      </c>
      <c r="M39" s="71">
        <v>2869</v>
      </c>
      <c r="N39" s="71">
        <v>3024</v>
      </c>
    </row>
    <row r="40" spans="2:14" ht="15" thickBot="1" x14ac:dyDescent="0.35">
      <c r="B40" s="69" t="s">
        <v>136</v>
      </c>
      <c r="C40" s="72">
        <v>5712</v>
      </c>
      <c r="D40" s="72">
        <v>6784</v>
      </c>
      <c r="E40" s="72">
        <v>8075</v>
      </c>
      <c r="F40" s="72">
        <v>8914</v>
      </c>
      <c r="G40" s="72">
        <v>10559</v>
      </c>
      <c r="H40" s="72">
        <v>12405</v>
      </c>
      <c r="I40" s="72">
        <v>13763</v>
      </c>
      <c r="J40" s="72">
        <v>16249</v>
      </c>
      <c r="K40" s="72">
        <v>16138</v>
      </c>
      <c r="L40" s="72">
        <v>20355</v>
      </c>
      <c r="M40" s="72">
        <v>22958</v>
      </c>
      <c r="N40" s="72">
        <v>25779</v>
      </c>
    </row>
    <row r="41" spans="2:14" ht="15" thickTop="1" x14ac:dyDescent="0.3"/>
    <row r="43" spans="2:14" x14ac:dyDescent="0.3"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</row>
    <row r="44" spans="2:14" x14ac:dyDescent="0.3">
      <c r="D44" s="63"/>
      <c r="E44" s="63"/>
      <c r="F44" s="63"/>
      <c r="G44" s="63"/>
      <c r="H44" s="63"/>
      <c r="I44" s="63"/>
      <c r="J44" s="63"/>
      <c r="K44" s="63"/>
      <c r="L44" s="63"/>
      <c r="N44" s="63"/>
    </row>
    <row r="45" spans="2:14" x14ac:dyDescent="0.3"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spans="2:14" x14ac:dyDescent="0.3">
      <c r="M46" s="63"/>
    </row>
    <row r="47" spans="2:14" x14ac:dyDescent="0.3">
      <c r="M47" s="63"/>
    </row>
    <row r="48" spans="2:14" x14ac:dyDescent="0.3">
      <c r="L48" s="63"/>
    </row>
    <row r="50" spans="9:14" x14ac:dyDescent="0.3">
      <c r="M50" s="63"/>
    </row>
    <row r="51" spans="9:14" x14ac:dyDescent="0.3">
      <c r="I51" s="63"/>
      <c r="K51" s="63"/>
      <c r="L51" s="63"/>
      <c r="M51" s="63"/>
      <c r="N51" s="63"/>
    </row>
    <row r="53" spans="9:14" x14ac:dyDescent="0.3">
      <c r="I53" s="63"/>
      <c r="N53" s="63"/>
    </row>
    <row r="54" spans="9:14" x14ac:dyDescent="0.3">
      <c r="I54" s="63"/>
      <c r="J54" s="63"/>
      <c r="N54" s="63"/>
    </row>
    <row r="64" spans="9:14" x14ac:dyDescent="0.3">
      <c r="I64" s="63"/>
      <c r="J64" s="63"/>
      <c r="K64" s="63"/>
      <c r="M64" s="63"/>
      <c r="N64" s="63"/>
    </row>
    <row r="68" spans="9:14" x14ac:dyDescent="0.3">
      <c r="I68" s="63"/>
      <c r="J68" s="63"/>
      <c r="K68" s="63"/>
      <c r="M68" s="63"/>
      <c r="N68" s="63"/>
    </row>
    <row r="71" spans="9:14" x14ac:dyDescent="0.3">
      <c r="L71" s="63"/>
      <c r="M71" s="6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98AF-EEEA-4153-AFC9-70208F68F770}">
  <sheetPr>
    <tabColor theme="4" tint="-0.249977111117893"/>
  </sheetPr>
  <dimension ref="A2:N113"/>
  <sheetViews>
    <sheetView showGridLines="0" topLeftCell="B1" zoomScale="80" zoomScaleNormal="80" workbookViewId="0">
      <pane ySplit="3" topLeftCell="A103" activePane="bottomLeft" state="frozen"/>
      <selection pane="bottomLeft" activeCell="D125" sqref="D125"/>
    </sheetView>
  </sheetViews>
  <sheetFormatPr defaultRowHeight="14.4" x14ac:dyDescent="0.3"/>
  <cols>
    <col min="1" max="1" width="1.88671875" customWidth="1"/>
    <col min="2" max="2" width="28.5546875" style="22" bestFit="1" customWidth="1"/>
    <col min="3" max="12" width="17" style="22" bestFit="1" customWidth="1"/>
    <col min="13" max="13" width="13.33203125" style="22" bestFit="1" customWidth="1"/>
  </cols>
  <sheetData>
    <row r="2" spans="1:13" x14ac:dyDescent="0.3">
      <c r="B2" s="142" t="str">
        <f>"Historical Financial Statements - "&amp;'Data Sheet'!B1</f>
        <v>Historical Financial Statements - MAHINDRA &amp; MAHINDRA LTD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3">
      <c r="B3" s="90" t="s">
        <v>204</v>
      </c>
      <c r="C3" s="91">
        <f>'Data Sheet'!B16</f>
        <v>41729</v>
      </c>
      <c r="D3" s="91">
        <f>'Data Sheet'!C16</f>
        <v>42094</v>
      </c>
      <c r="E3" s="91">
        <f>'Data Sheet'!D16</f>
        <v>42460</v>
      </c>
      <c r="F3" s="91">
        <f>'Data Sheet'!E16</f>
        <v>42825</v>
      </c>
      <c r="G3" s="91">
        <f>'Data Sheet'!F16</f>
        <v>43190</v>
      </c>
      <c r="H3" s="91">
        <f>'Data Sheet'!G16</f>
        <v>43555</v>
      </c>
      <c r="I3" s="91">
        <f>'Data Sheet'!H16</f>
        <v>43921</v>
      </c>
      <c r="J3" s="91">
        <f>'Data Sheet'!I16</f>
        <v>44286</v>
      </c>
      <c r="K3" s="91">
        <f>'Data Sheet'!J16</f>
        <v>44651</v>
      </c>
      <c r="L3" s="91">
        <f>'Data Sheet'!K16</f>
        <v>45016</v>
      </c>
      <c r="M3" s="92" t="s">
        <v>205</v>
      </c>
    </row>
    <row r="4" spans="1:13" x14ac:dyDescent="0.3">
      <c r="B4" s="66"/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</row>
    <row r="5" spans="1:13" x14ac:dyDescent="0.3">
      <c r="A5" s="22" t="s">
        <v>141</v>
      </c>
      <c r="B5" s="95" t="s">
        <v>206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3" x14ac:dyDescent="0.3">
      <c r="B6" s="22" t="s">
        <v>163</v>
      </c>
      <c r="C6" s="96">
        <f>IFERROR('Data Sheet'!B17,0)</f>
        <v>74000.929999999993</v>
      </c>
      <c r="D6" s="96">
        <f>IFERROR('Data Sheet'!C17,0)</f>
        <v>71448</v>
      </c>
      <c r="E6" s="96">
        <f>IFERROR('Data Sheet'!D17,0)</f>
        <v>75841.42</v>
      </c>
      <c r="F6" s="96">
        <f>IFERROR('Data Sheet'!E17,0)</f>
        <v>83773.05</v>
      </c>
      <c r="G6" s="96">
        <f>IFERROR('Data Sheet'!F17,0)</f>
        <v>92093.95</v>
      </c>
      <c r="H6" s="96">
        <f>IFERROR('Data Sheet'!G17,0)</f>
        <v>104720.68</v>
      </c>
      <c r="I6" s="96">
        <f>IFERROR('Data Sheet'!H17,0)</f>
        <v>75381.929999999993</v>
      </c>
      <c r="J6" s="96">
        <f>IFERROR('Data Sheet'!I17,0)</f>
        <v>74277.78</v>
      </c>
      <c r="K6" s="96">
        <f>IFERROR('Data Sheet'!J17,0)</f>
        <v>90170.57</v>
      </c>
      <c r="L6" s="96">
        <f>IFERROR('Data Sheet'!K17,0)</f>
        <v>121268.55</v>
      </c>
      <c r="M6" s="96">
        <f>IFERROR(SUM('Data Sheet'!H42:K42),0)</f>
        <v>131402.99</v>
      </c>
    </row>
    <row r="7" spans="1:13" x14ac:dyDescent="0.3">
      <c r="B7" s="97" t="s">
        <v>207</v>
      </c>
      <c r="C7" s="98" t="s">
        <v>208</v>
      </c>
      <c r="D7" s="99">
        <f>D6/C6-1</f>
        <v>-3.4498620490309939E-2</v>
      </c>
      <c r="E7" s="99">
        <f t="shared" ref="E7:M7" si="0">E6/D6-1</f>
        <v>6.1491154406001503E-2</v>
      </c>
      <c r="F7" s="99">
        <f t="shared" si="0"/>
        <v>0.10458177075271013</v>
      </c>
      <c r="G7" s="99">
        <f t="shared" si="0"/>
        <v>9.9326692772914393E-2</v>
      </c>
      <c r="H7" s="99">
        <f t="shared" si="0"/>
        <v>0.13710705209191265</v>
      </c>
      <c r="I7" s="99">
        <f t="shared" si="0"/>
        <v>-0.28016195082002904</v>
      </c>
      <c r="J7" s="99">
        <f t="shared" si="0"/>
        <v>-1.4647409531700739E-2</v>
      </c>
      <c r="K7" s="99">
        <f t="shared" si="0"/>
        <v>0.21396425687466714</v>
      </c>
      <c r="L7" s="99">
        <f t="shared" si="0"/>
        <v>0.3448794878417647</v>
      </c>
      <c r="M7" s="99">
        <f t="shared" si="0"/>
        <v>8.3570224926413195E-2</v>
      </c>
    </row>
    <row r="8" spans="1:13" x14ac:dyDescent="0.3">
      <c r="B8" s="97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x14ac:dyDescent="0.3">
      <c r="B9" s="22" t="s">
        <v>209</v>
      </c>
      <c r="C9" s="96">
        <f>IFERROR(SUM('Data Sheet'!B20:B22,'Data Sheet'!B18)-1*'Data Sheet'!B19,0)</f>
        <v>55287.99</v>
      </c>
      <c r="D9" s="96">
        <f>IFERROR(SUM('Data Sheet'!C20:C22,'Data Sheet'!C18)-1*'Data Sheet'!C19,0)</f>
        <v>53392.529999999992</v>
      </c>
      <c r="E9" s="96">
        <f>IFERROR(SUM('Data Sheet'!D20:D22,'Data Sheet'!D18)-1*'Data Sheet'!D19,0)</f>
        <v>56073.909999999996</v>
      </c>
      <c r="F9" s="96">
        <f>IFERROR(SUM('Data Sheet'!E20:E22,'Data Sheet'!E18)-1*'Data Sheet'!E19,0)</f>
        <v>63464.359999999993</v>
      </c>
      <c r="G9" s="96">
        <f>IFERROR(SUM('Data Sheet'!F20:F22,'Data Sheet'!F18)-1*'Data Sheet'!F19,0)</f>
        <v>67869.400000000009</v>
      </c>
      <c r="H9" s="96">
        <f>IFERROR(SUM('Data Sheet'!G20:G22,'Data Sheet'!G18)-1*'Data Sheet'!G19,0)</f>
        <v>76462.900000000009</v>
      </c>
      <c r="I9" s="96">
        <f>IFERROR(SUM('Data Sheet'!H20:H22,'Data Sheet'!H18)-1*'Data Sheet'!H19,0)</f>
        <v>50445.450000000004</v>
      </c>
      <c r="J9" s="96">
        <f>IFERROR(SUM('Data Sheet'!I20:I22,'Data Sheet'!I18)-1*'Data Sheet'!I19,0)</f>
        <v>49173.009999999995</v>
      </c>
      <c r="K9" s="96">
        <f>IFERROR(SUM('Data Sheet'!J20:J22,'Data Sheet'!J18)-1*'Data Sheet'!J19,0)</f>
        <v>63855.469999999994</v>
      </c>
      <c r="L9" s="96">
        <f>IFERROR(SUM('Data Sheet'!K20:K22,'Data Sheet'!K18)-1*'Data Sheet'!K19,0)</f>
        <v>88334.41</v>
      </c>
      <c r="M9" s="96">
        <f>IFERROR(SUM('Data Sheet'!H43:K43),0)</f>
        <v>108513.82</v>
      </c>
    </row>
    <row r="10" spans="1:13" x14ac:dyDescent="0.3">
      <c r="B10" s="99" t="s">
        <v>210</v>
      </c>
      <c r="C10" s="99">
        <f t="shared" ref="C10:M10" si="1">C9/C6</f>
        <v>0.74712561044840931</v>
      </c>
      <c r="D10" s="99">
        <f t="shared" si="1"/>
        <v>0.74729215653342274</v>
      </c>
      <c r="E10" s="99">
        <f t="shared" si="1"/>
        <v>0.73935733270816917</v>
      </c>
      <c r="F10" s="99">
        <f t="shared" si="1"/>
        <v>0.75757490028117624</v>
      </c>
      <c r="G10" s="99">
        <f t="shared" si="1"/>
        <v>0.73695829096265297</v>
      </c>
      <c r="H10" s="99">
        <f t="shared" si="1"/>
        <v>0.73016046114291866</v>
      </c>
      <c r="I10" s="99">
        <f t="shared" si="1"/>
        <v>0.66919817521254776</v>
      </c>
      <c r="J10" s="99">
        <f t="shared" si="1"/>
        <v>0.66201507368690871</v>
      </c>
      <c r="K10" s="99">
        <f t="shared" si="1"/>
        <v>0.70816309578613057</v>
      </c>
      <c r="L10" s="99">
        <f t="shared" si="1"/>
        <v>0.72841977577863348</v>
      </c>
      <c r="M10" s="99">
        <f t="shared" si="1"/>
        <v>0.82580936704712737</v>
      </c>
    </row>
    <row r="12" spans="1:13" x14ac:dyDescent="0.3">
      <c r="B12" s="100" t="s">
        <v>211</v>
      </c>
      <c r="C12" s="101">
        <f>C6-C9</f>
        <v>18712.939999999995</v>
      </c>
      <c r="D12" s="101">
        <f t="shared" ref="D12:M12" si="2">D6-D9</f>
        <v>18055.470000000008</v>
      </c>
      <c r="E12" s="101">
        <f t="shared" si="2"/>
        <v>19767.510000000002</v>
      </c>
      <c r="F12" s="101">
        <f t="shared" si="2"/>
        <v>20308.69000000001</v>
      </c>
      <c r="G12" s="101">
        <f t="shared" si="2"/>
        <v>24224.549999999988</v>
      </c>
      <c r="H12" s="101">
        <f t="shared" si="2"/>
        <v>28257.779999999984</v>
      </c>
      <c r="I12" s="101">
        <f t="shared" si="2"/>
        <v>24936.479999999989</v>
      </c>
      <c r="J12" s="101">
        <f t="shared" si="2"/>
        <v>25104.770000000004</v>
      </c>
      <c r="K12" s="101">
        <f t="shared" si="2"/>
        <v>26315.100000000013</v>
      </c>
      <c r="L12" s="101">
        <f t="shared" si="2"/>
        <v>32934.14</v>
      </c>
      <c r="M12" s="101">
        <f t="shared" si="2"/>
        <v>22889.169999999984</v>
      </c>
    </row>
    <row r="13" spans="1:13" x14ac:dyDescent="0.3">
      <c r="B13" s="99" t="s">
        <v>212</v>
      </c>
      <c r="C13" s="99">
        <f>IFERROR(C12/C6,0)</f>
        <v>0.25287438955159075</v>
      </c>
      <c r="D13" s="99">
        <f t="shared" ref="D13:M13" si="3">IFERROR(D12/D6,0)</f>
        <v>0.25270784346657721</v>
      </c>
      <c r="E13" s="99">
        <f t="shared" si="3"/>
        <v>0.26064266729183078</v>
      </c>
      <c r="F13" s="99">
        <f t="shared" si="3"/>
        <v>0.24242509971882376</v>
      </c>
      <c r="G13" s="99">
        <f t="shared" si="3"/>
        <v>0.26304170903734708</v>
      </c>
      <c r="H13" s="99">
        <f t="shared" si="3"/>
        <v>0.2698395388570814</v>
      </c>
      <c r="I13" s="99">
        <f t="shared" si="3"/>
        <v>0.33080182478745224</v>
      </c>
      <c r="J13" s="99">
        <f t="shared" si="3"/>
        <v>0.33798492631309129</v>
      </c>
      <c r="K13" s="99">
        <f t="shared" si="3"/>
        <v>0.29183690421386949</v>
      </c>
      <c r="L13" s="99">
        <f t="shared" si="3"/>
        <v>0.27158022422136652</v>
      </c>
      <c r="M13" s="99">
        <f t="shared" si="3"/>
        <v>0.17419063295287257</v>
      </c>
    </row>
    <row r="14" spans="1:13" x14ac:dyDescent="0.3">
      <c r="B14" s="22" t="s">
        <v>213</v>
      </c>
      <c r="C14" s="102">
        <f>IFERROR(SUM('Data Sheet'!B23:B24),0)</f>
        <v>8542.4500000000007</v>
      </c>
      <c r="D14" s="102">
        <f>IFERROR(SUM('Data Sheet'!C23:C24),0)</f>
        <v>9262.18</v>
      </c>
      <c r="E14" s="102">
        <f>IFERROR(SUM('Data Sheet'!D23:D24),0)</f>
        <v>9685.07</v>
      </c>
      <c r="F14" s="102">
        <f>IFERROR(SUM('Data Sheet'!E23:E24),0)</f>
        <v>9573.86</v>
      </c>
      <c r="G14" s="102">
        <f>IFERROR(SUM('Data Sheet'!F23:F24),0)</f>
        <v>10998.45</v>
      </c>
      <c r="H14" s="102">
        <f>IFERROR(SUM('Data Sheet'!G23:G24),0)</f>
        <v>13051.27</v>
      </c>
      <c r="I14" s="102">
        <f>IFERROR(SUM('Data Sheet'!H23:H24),0)</f>
        <v>14778.73</v>
      </c>
      <c r="J14" s="102">
        <f>IFERROR(SUM('Data Sheet'!I23:I24),0)</f>
        <v>13617.75</v>
      </c>
      <c r="K14" s="102">
        <f>IFERROR(SUM('Data Sheet'!J23:J24),0)</f>
        <v>11632.25</v>
      </c>
      <c r="L14" s="102">
        <f>IFERROR(SUM('Data Sheet'!K23:K24),0)</f>
        <v>12648.849999999999</v>
      </c>
      <c r="M14" s="102"/>
    </row>
    <row r="15" spans="1:13" x14ac:dyDescent="0.3">
      <c r="B15" s="99" t="s">
        <v>214</v>
      </c>
      <c r="C15" s="99">
        <f>C14/C6</f>
        <v>0.11543706275042762</v>
      </c>
      <c r="D15" s="99">
        <f t="shared" ref="D15:L15" si="4">D14/D6</f>
        <v>0.12963525920949504</v>
      </c>
      <c r="E15" s="99">
        <f t="shared" si="4"/>
        <v>0.12770159103033671</v>
      </c>
      <c r="F15" s="99">
        <f t="shared" si="4"/>
        <v>0.11428329277733114</v>
      </c>
      <c r="G15" s="99">
        <f t="shared" si="4"/>
        <v>0.11942641183269911</v>
      </c>
      <c r="H15" s="99">
        <f t="shared" si="4"/>
        <v>0.12462934732662165</v>
      </c>
      <c r="I15" s="99">
        <f t="shared" si="4"/>
        <v>0.19605136138063858</v>
      </c>
      <c r="J15" s="99">
        <f t="shared" si="4"/>
        <v>0.18333544702062987</v>
      </c>
      <c r="K15" s="99">
        <f t="shared" si="4"/>
        <v>0.12900273337520213</v>
      </c>
      <c r="L15" s="99">
        <f t="shared" si="4"/>
        <v>0.10430445486484334</v>
      </c>
      <c r="M15" s="99"/>
    </row>
    <row r="17" spans="2:13" x14ac:dyDescent="0.3">
      <c r="B17" s="100" t="s">
        <v>215</v>
      </c>
      <c r="C17" s="101">
        <f>C12-C14</f>
        <v>10170.489999999994</v>
      </c>
      <c r="D17" s="101">
        <f t="shared" ref="D17:L17" si="5">D12-D14</f>
        <v>8793.2900000000081</v>
      </c>
      <c r="E17" s="101">
        <f t="shared" si="5"/>
        <v>10082.440000000002</v>
      </c>
      <c r="F17" s="101">
        <f t="shared" si="5"/>
        <v>10734.830000000009</v>
      </c>
      <c r="G17" s="101">
        <f t="shared" si="5"/>
        <v>13226.099999999988</v>
      </c>
      <c r="H17" s="101">
        <f t="shared" si="5"/>
        <v>15206.509999999984</v>
      </c>
      <c r="I17" s="101">
        <f t="shared" si="5"/>
        <v>10157.749999999989</v>
      </c>
      <c r="J17" s="101">
        <f t="shared" si="5"/>
        <v>11487.020000000004</v>
      </c>
      <c r="K17" s="101">
        <f t="shared" si="5"/>
        <v>14682.850000000013</v>
      </c>
      <c r="L17" s="101">
        <f t="shared" si="5"/>
        <v>20285.29</v>
      </c>
      <c r="M17" s="101">
        <f>IFERROR(SUM('Data Sheet'!H51:K51),0)</f>
        <v>27983.82</v>
      </c>
    </row>
    <row r="18" spans="2:13" x14ac:dyDescent="0.3">
      <c r="B18" s="22" t="s">
        <v>216</v>
      </c>
      <c r="C18" s="99">
        <f>C17/C6</f>
        <v>0.13743732680116311</v>
      </c>
      <c r="D18" s="99">
        <f t="shared" ref="D18:M18" si="6">D17/D6</f>
        <v>0.12307258425708219</v>
      </c>
      <c r="E18" s="99">
        <f t="shared" si="6"/>
        <v>0.1329410762614941</v>
      </c>
      <c r="F18" s="99">
        <f t="shared" si="6"/>
        <v>0.12814180694149263</v>
      </c>
      <c r="G18" s="99">
        <f t="shared" si="6"/>
        <v>0.14361529720464794</v>
      </c>
      <c r="H18" s="99">
        <f t="shared" si="6"/>
        <v>0.14521019153045975</v>
      </c>
      <c r="I18" s="99">
        <f t="shared" si="6"/>
        <v>0.13475046340681368</v>
      </c>
      <c r="J18" s="99">
        <f t="shared" si="6"/>
        <v>0.15464947929246142</v>
      </c>
      <c r="K18" s="99">
        <f t="shared" si="6"/>
        <v>0.16283417083866733</v>
      </c>
      <c r="L18" s="99">
        <f t="shared" si="6"/>
        <v>0.16727576935652319</v>
      </c>
      <c r="M18" s="99">
        <f t="shared" si="6"/>
        <v>0.21296182073178094</v>
      </c>
    </row>
    <row r="20" spans="2:13" x14ac:dyDescent="0.3">
      <c r="B20" s="22" t="s">
        <v>173</v>
      </c>
      <c r="C20" s="102">
        <f>IFERROR('Data Sheet'!B27,0)</f>
        <v>2953.93</v>
      </c>
      <c r="D20" s="102">
        <f>IFERROR('Data Sheet'!C27,0)</f>
        <v>3156.69</v>
      </c>
      <c r="E20" s="102">
        <f>IFERROR('Data Sheet'!D27,0)</f>
        <v>3367.59</v>
      </c>
      <c r="F20" s="102">
        <f>IFERROR('Data Sheet'!E27,0)</f>
        <v>3648.46</v>
      </c>
      <c r="G20" s="102">
        <f>IFERROR('Data Sheet'!F27,0)</f>
        <v>3987.09</v>
      </c>
      <c r="H20" s="102">
        <f>IFERROR('Data Sheet'!G27,0)</f>
        <v>5021.3500000000004</v>
      </c>
      <c r="I20" s="102">
        <f>IFERROR('Data Sheet'!H27,0)</f>
        <v>6021.15</v>
      </c>
      <c r="J20" s="102">
        <f>IFERROR('Data Sheet'!I27,0)</f>
        <v>6102.22</v>
      </c>
      <c r="K20" s="102">
        <f>IFERROR('Data Sheet'!J27,0)</f>
        <v>5018.05</v>
      </c>
      <c r="L20" s="102">
        <f>IFERROR('Data Sheet'!K27,0)</f>
        <v>5829.7</v>
      </c>
      <c r="M20" s="22">
        <f>IFERROR(SUM('Data Sheet'!H46:K46),0)</f>
        <v>6783.15</v>
      </c>
    </row>
    <row r="21" spans="2:13" x14ac:dyDescent="0.3">
      <c r="B21" s="97" t="s">
        <v>217</v>
      </c>
      <c r="C21" s="99">
        <f>C20/C6</f>
        <v>3.9917471307455189E-2</v>
      </c>
      <c r="D21" s="99">
        <f t="shared" ref="D21:M21" si="7">D20/D6</f>
        <v>4.4181642593214644E-2</v>
      </c>
      <c r="E21" s="99">
        <f t="shared" si="7"/>
        <v>4.4403045196147441E-2</v>
      </c>
      <c r="F21" s="99">
        <f t="shared" si="7"/>
        <v>4.3551715020522706E-2</v>
      </c>
      <c r="G21" s="99">
        <f t="shared" si="7"/>
        <v>4.3293723420485278E-2</v>
      </c>
      <c r="H21" s="99">
        <f t="shared" si="7"/>
        <v>4.7949936917903904E-2</v>
      </c>
      <c r="I21" s="99">
        <f t="shared" si="7"/>
        <v>7.9875243310963254E-2</v>
      </c>
      <c r="J21" s="99">
        <f t="shared" si="7"/>
        <v>8.2154043914613506E-2</v>
      </c>
      <c r="K21" s="99">
        <f t="shared" si="7"/>
        <v>5.5650640780023901E-2</v>
      </c>
      <c r="L21" s="99">
        <f t="shared" si="7"/>
        <v>4.8072645380851008E-2</v>
      </c>
      <c r="M21" s="99">
        <f t="shared" si="7"/>
        <v>5.1620971486265266E-2</v>
      </c>
    </row>
    <row r="23" spans="2:13" x14ac:dyDescent="0.3">
      <c r="B23" s="22" t="s">
        <v>218</v>
      </c>
      <c r="C23" s="102">
        <f>IFERROR('Data Sheet'!B26,0)</f>
        <v>2169.5700000000002</v>
      </c>
      <c r="D23" s="102">
        <f>IFERROR('Data Sheet'!C26,0)</f>
        <v>2123.83</v>
      </c>
      <c r="E23" s="102">
        <f>IFERROR('Data Sheet'!D26,0)</f>
        <v>2441.65</v>
      </c>
      <c r="F23" s="102">
        <f>IFERROR('Data Sheet'!E26,0)</f>
        <v>2812.72</v>
      </c>
      <c r="G23" s="102">
        <f>IFERROR('Data Sheet'!F26,0)</f>
        <v>3279.9</v>
      </c>
      <c r="H23" s="102">
        <f>IFERROR('Data Sheet'!G26,0)</f>
        <v>3990.77</v>
      </c>
      <c r="I23" s="102">
        <f>IFERROR('Data Sheet'!H26,0)</f>
        <v>3366.68</v>
      </c>
      <c r="J23" s="102">
        <f>IFERROR('Data Sheet'!I26,0)</f>
        <v>3378.11</v>
      </c>
      <c r="K23" s="102">
        <f>IFERROR('Data Sheet'!J26,0)</f>
        <v>3507.5</v>
      </c>
      <c r="L23" s="102">
        <f>IFERROR('Data Sheet'!K26,0)</f>
        <v>4356.8100000000004</v>
      </c>
      <c r="M23" s="102">
        <f>IFERROR(SUM('Data Sheet'!H45:K45),0)</f>
        <v>4570.7000000000007</v>
      </c>
    </row>
    <row r="24" spans="2:13" x14ac:dyDescent="0.3">
      <c r="B24" s="97" t="s">
        <v>219</v>
      </c>
      <c r="C24" s="99">
        <f>C23/C6</f>
        <v>2.9318145055744576E-2</v>
      </c>
      <c r="D24" s="99">
        <f t="shared" ref="D24:M24" si="8">D23/D6</f>
        <v>2.9725534654573955E-2</v>
      </c>
      <c r="E24" s="99">
        <f t="shared" si="8"/>
        <v>3.2194149318406751E-2</v>
      </c>
      <c r="F24" s="99">
        <f t="shared" si="8"/>
        <v>3.3575475645210476E-2</v>
      </c>
      <c r="G24" s="99">
        <f t="shared" si="8"/>
        <v>3.5614717361998269E-2</v>
      </c>
      <c r="H24" s="99">
        <f t="shared" si="8"/>
        <v>3.8108709760097052E-2</v>
      </c>
      <c r="I24" s="99">
        <f t="shared" si="8"/>
        <v>4.4661631773025713E-2</v>
      </c>
      <c r="J24" s="99">
        <f t="shared" si="8"/>
        <v>4.5479415243697377E-2</v>
      </c>
      <c r="K24" s="99">
        <f t="shared" si="8"/>
        <v>3.8898500918869643E-2</v>
      </c>
      <c r="L24" s="99">
        <f t="shared" si="8"/>
        <v>3.5926957154183835E-2</v>
      </c>
      <c r="M24" s="99">
        <f t="shared" si="8"/>
        <v>3.4783835588520481E-2</v>
      </c>
    </row>
    <row r="26" spans="2:13" x14ac:dyDescent="0.3">
      <c r="B26" s="100" t="s">
        <v>220</v>
      </c>
      <c r="C26" s="103">
        <f>C17-SUM(C20,C23)</f>
        <v>5046.9899999999943</v>
      </c>
      <c r="D26" s="103">
        <f t="shared" ref="D26:M26" si="9">D17-SUM(D20,D23)</f>
        <v>3512.7700000000077</v>
      </c>
      <c r="E26" s="103">
        <f t="shared" si="9"/>
        <v>4273.2000000000025</v>
      </c>
      <c r="F26" s="103">
        <f t="shared" si="9"/>
        <v>4273.6500000000087</v>
      </c>
      <c r="G26" s="103">
        <f t="shared" si="9"/>
        <v>5959.1099999999878</v>
      </c>
      <c r="H26" s="103">
        <f t="shared" si="9"/>
        <v>6194.389999999983</v>
      </c>
      <c r="I26" s="103">
        <f t="shared" si="9"/>
        <v>769.91999999998916</v>
      </c>
      <c r="J26" s="103">
        <f t="shared" si="9"/>
        <v>2006.6900000000041</v>
      </c>
      <c r="K26" s="103">
        <f t="shared" si="9"/>
        <v>6157.3000000000138</v>
      </c>
      <c r="L26" s="103">
        <f t="shared" si="9"/>
        <v>10098.780000000001</v>
      </c>
      <c r="M26" s="103">
        <f t="shared" si="9"/>
        <v>16629.97</v>
      </c>
    </row>
    <row r="27" spans="2:13" x14ac:dyDescent="0.3">
      <c r="B27" s="97" t="s">
        <v>221</v>
      </c>
      <c r="C27" s="99">
        <f>C26/C6</f>
        <v>6.8201710437963345E-2</v>
      </c>
      <c r="D27" s="99">
        <f t="shared" ref="D27:M27" si="10">D26/D6</f>
        <v>4.9165407009293581E-2</v>
      </c>
      <c r="E27" s="99">
        <f t="shared" si="10"/>
        <v>5.6343881746939897E-2</v>
      </c>
      <c r="F27" s="99">
        <f t="shared" si="10"/>
        <v>5.1014616275759428E-2</v>
      </c>
      <c r="G27" s="99">
        <f t="shared" si="10"/>
        <v>6.4706856422164408E-2</v>
      </c>
      <c r="H27" s="99">
        <f t="shared" si="10"/>
        <v>5.9151544852458784E-2</v>
      </c>
      <c r="I27" s="99">
        <f t="shared" si="10"/>
        <v>1.0213588322824704E-2</v>
      </c>
      <c r="J27" s="99">
        <f t="shared" si="10"/>
        <v>2.701602013415054E-2</v>
      </c>
      <c r="K27" s="99">
        <f t="shared" si="10"/>
        <v>6.8285029139773801E-2</v>
      </c>
      <c r="L27" s="99">
        <f t="shared" si="10"/>
        <v>8.3276166821488348E-2</v>
      </c>
      <c r="M27" s="99">
        <f t="shared" si="10"/>
        <v>0.12655701365699518</v>
      </c>
    </row>
    <row r="29" spans="2:13" x14ac:dyDescent="0.3">
      <c r="B29" s="22" t="s">
        <v>175</v>
      </c>
      <c r="C29" s="104">
        <f>IFERROR('Data Sheet'!B29,0)</f>
        <v>1496.22</v>
      </c>
      <c r="D29" s="104">
        <f>IFERROR('Data Sheet'!C29,0)</f>
        <v>1720.02</v>
      </c>
      <c r="E29" s="104">
        <f>IFERROR('Data Sheet'!D29,0)</f>
        <v>2117.5300000000002</v>
      </c>
      <c r="F29" s="104">
        <f>IFERROR('Data Sheet'!E29,0)</f>
        <v>2299.73</v>
      </c>
      <c r="G29" s="104">
        <f>IFERROR('Data Sheet'!F29,0)</f>
        <v>2367.73</v>
      </c>
      <c r="H29" s="104">
        <f>IFERROR('Data Sheet'!G29,0)</f>
        <v>2853.99</v>
      </c>
      <c r="I29" s="104">
        <f>IFERROR('Data Sheet'!H29,0)</f>
        <v>1975.61</v>
      </c>
      <c r="J29" s="104">
        <f>IFERROR('Data Sheet'!I29,0)</f>
        <v>1645.81</v>
      </c>
      <c r="K29" s="104">
        <f>IFERROR('Data Sheet'!J29,0)</f>
        <v>2108.7600000000002</v>
      </c>
      <c r="L29" s="104">
        <f>IFERROR('Data Sheet'!K29,0)</f>
        <v>2685.75</v>
      </c>
      <c r="M29" s="104">
        <f>IFERROR(SUM('Data Sheet'!H48:K48),0)</f>
        <v>3098.5699999999997</v>
      </c>
    </row>
    <row r="30" spans="2:13" x14ac:dyDescent="0.3">
      <c r="B30" s="97" t="s">
        <v>222</v>
      </c>
      <c r="C30" s="99">
        <f>C29/C17</f>
        <v>0.14711385587125111</v>
      </c>
      <c r="D30" s="99">
        <f t="shared" ref="D30:M30" si="11">D29/D17</f>
        <v>0.19560596773221381</v>
      </c>
      <c r="E30" s="99">
        <f t="shared" si="11"/>
        <v>0.21002158207735427</v>
      </c>
      <c r="F30" s="99">
        <f t="shared" si="11"/>
        <v>0.21423068646639007</v>
      </c>
      <c r="G30" s="99">
        <f t="shared" si="11"/>
        <v>0.17901951444492348</v>
      </c>
      <c r="H30" s="99">
        <f t="shared" si="11"/>
        <v>0.18768211772457999</v>
      </c>
      <c r="I30" s="99">
        <f t="shared" si="11"/>
        <v>0.19449287489847672</v>
      </c>
      <c r="J30" s="99">
        <f t="shared" si="11"/>
        <v>0.143275627621437</v>
      </c>
      <c r="K30" s="99">
        <f t="shared" si="11"/>
        <v>0.14362061861287137</v>
      </c>
      <c r="L30" s="99">
        <f t="shared" si="11"/>
        <v>0.13239889594873921</v>
      </c>
      <c r="M30" s="99">
        <f t="shared" si="11"/>
        <v>0.11072719878844274</v>
      </c>
    </row>
    <row r="32" spans="2:13" x14ac:dyDescent="0.3">
      <c r="B32" s="100" t="s">
        <v>223</v>
      </c>
      <c r="C32" s="103">
        <f>C26-C29</f>
        <v>3550.7699999999941</v>
      </c>
      <c r="D32" s="103">
        <f t="shared" ref="D32:M32" si="12">D26-D29</f>
        <v>1792.7500000000077</v>
      </c>
      <c r="E32" s="103">
        <f t="shared" si="12"/>
        <v>2155.6700000000023</v>
      </c>
      <c r="F32" s="103">
        <f t="shared" si="12"/>
        <v>1973.9200000000087</v>
      </c>
      <c r="G32" s="103">
        <f t="shared" si="12"/>
        <v>3591.3799999999878</v>
      </c>
      <c r="H32" s="103">
        <f t="shared" si="12"/>
        <v>3340.3999999999833</v>
      </c>
      <c r="I32" s="103">
        <f t="shared" si="12"/>
        <v>-1205.6900000000107</v>
      </c>
      <c r="J32" s="103">
        <f t="shared" si="12"/>
        <v>360.8800000000042</v>
      </c>
      <c r="K32" s="103">
        <f t="shared" si="12"/>
        <v>4048.5400000000136</v>
      </c>
      <c r="L32" s="103">
        <f t="shared" si="12"/>
        <v>7413.0300000000007</v>
      </c>
      <c r="M32" s="103">
        <f t="shared" si="12"/>
        <v>13531.400000000001</v>
      </c>
    </row>
    <row r="33" spans="1:14" x14ac:dyDescent="0.3">
      <c r="B33" s="99" t="s">
        <v>224</v>
      </c>
      <c r="C33" s="99">
        <f>C32/C6</f>
        <v>4.7982775351606992E-2</v>
      </c>
      <c r="D33" s="99">
        <f t="shared" ref="D33:M33" si="13">D32/D6</f>
        <v>2.5091675064382597E-2</v>
      </c>
      <c r="E33" s="99">
        <f t="shared" si="13"/>
        <v>2.8423386587434707E-2</v>
      </c>
      <c r="F33" s="99">
        <f t="shared" si="13"/>
        <v>2.3562709009639839E-2</v>
      </c>
      <c r="G33" s="99">
        <f t="shared" si="13"/>
        <v>3.8996915649724961E-2</v>
      </c>
      <c r="H33" s="99">
        <f t="shared" si="13"/>
        <v>3.1898188590830233E-2</v>
      </c>
      <c r="I33" s="99">
        <f t="shared" si="13"/>
        <v>-1.5994416699068474E-2</v>
      </c>
      <c r="J33" s="99">
        <f t="shared" si="13"/>
        <v>4.8585189271947039E-3</v>
      </c>
      <c r="K33" s="99">
        <f t="shared" si="13"/>
        <v>4.4898684792610416E-2</v>
      </c>
      <c r="L33" s="99">
        <f t="shared" si="13"/>
        <v>6.1129039639708734E-2</v>
      </c>
      <c r="M33" s="99">
        <f t="shared" si="13"/>
        <v>0.10297634779847857</v>
      </c>
    </row>
    <row r="35" spans="1:14" x14ac:dyDescent="0.3">
      <c r="B35" s="22" t="s">
        <v>225</v>
      </c>
      <c r="C35" s="22">
        <f>IFERROR('Data Sheet'!B93,0)</f>
        <v>123.18</v>
      </c>
      <c r="D35" s="22">
        <f>IFERROR('Data Sheet'!C93,0)</f>
        <v>124.22</v>
      </c>
      <c r="E35" s="22">
        <f>IFERROR('Data Sheet'!D93,0)</f>
        <v>124.22</v>
      </c>
      <c r="F35" s="22">
        <f>IFERROR('Data Sheet'!E93,0)</f>
        <v>124.22</v>
      </c>
      <c r="G35" s="22">
        <f>IFERROR('Data Sheet'!F93,0)</f>
        <v>124.32</v>
      </c>
      <c r="H35" s="22">
        <f>IFERROR('Data Sheet'!G93,0)</f>
        <v>124.32</v>
      </c>
      <c r="I35" s="22">
        <f>IFERROR('Data Sheet'!H93,0)</f>
        <v>124.32</v>
      </c>
      <c r="J35" s="22">
        <f>IFERROR('Data Sheet'!I93,0)</f>
        <v>124.32</v>
      </c>
      <c r="K35" s="22">
        <f>IFERROR('Data Sheet'!J93,0)</f>
        <v>124.32</v>
      </c>
      <c r="L35" s="22">
        <f>IFERROR('Data Sheet'!K93,0)</f>
        <v>124.35</v>
      </c>
      <c r="M35" s="22">
        <f>IFERROR('Data Sheet'!L93,0)</f>
        <v>0</v>
      </c>
    </row>
    <row r="36" spans="1:14" x14ac:dyDescent="0.3">
      <c r="N36" s="105">
        <f>N30-N33</f>
        <v>0</v>
      </c>
    </row>
    <row r="37" spans="1:14" x14ac:dyDescent="0.3">
      <c r="B37" s="22" t="s">
        <v>226</v>
      </c>
      <c r="C37" s="104">
        <f>IFERROR(C32/C35,0)</f>
        <v>28.82586458840716</v>
      </c>
      <c r="D37" s="104">
        <f t="shared" ref="D37:M37" si="14">IFERROR(D32/D35,0)</f>
        <v>14.432056029624922</v>
      </c>
      <c r="E37" s="104">
        <f t="shared" si="14"/>
        <v>17.353646755755936</v>
      </c>
      <c r="F37" s="104">
        <f t="shared" si="14"/>
        <v>15.890516824987994</v>
      </c>
      <c r="G37" s="104">
        <f t="shared" si="14"/>
        <v>28.888191763191667</v>
      </c>
      <c r="H37" s="104">
        <f t="shared" si="14"/>
        <v>26.869369369369235</v>
      </c>
      <c r="I37" s="104">
        <f t="shared" si="14"/>
        <v>-9.6982786357787223</v>
      </c>
      <c r="J37" s="104">
        <f t="shared" si="14"/>
        <v>2.9028314028314366</v>
      </c>
      <c r="K37" s="104">
        <f t="shared" si="14"/>
        <v>32.565476190476303</v>
      </c>
      <c r="L37" s="104">
        <f t="shared" si="14"/>
        <v>59.614234016887828</v>
      </c>
      <c r="M37" s="104">
        <f t="shared" si="14"/>
        <v>0</v>
      </c>
    </row>
    <row r="38" spans="1:14" x14ac:dyDescent="0.3">
      <c r="B38" s="99" t="s">
        <v>227</v>
      </c>
      <c r="D38" s="99">
        <f>IFERROR(D37/C37-1,0)</f>
        <v>-0.49933657721305491</v>
      </c>
      <c r="E38" s="99">
        <f t="shared" ref="E38:M38" si="15">IFERROR(E37/D37-1,0)</f>
        <v>0.20243759587225929</v>
      </c>
      <c r="F38" s="99">
        <f t="shared" si="15"/>
        <v>-8.4312533922164978E-2</v>
      </c>
      <c r="G38" s="99">
        <f t="shared" si="15"/>
        <v>0.81795168032324161</v>
      </c>
      <c r="H38" s="99">
        <f t="shared" si="15"/>
        <v>-6.9884000022277126E-2</v>
      </c>
      <c r="I38" s="99">
        <f t="shared" si="15"/>
        <v>-1.3609418033768461</v>
      </c>
      <c r="J38" s="99">
        <f t="shared" si="15"/>
        <v>-1.2993140857102581</v>
      </c>
      <c r="K38" s="99">
        <f t="shared" si="15"/>
        <v>10.218521392152425</v>
      </c>
      <c r="L38" s="99">
        <f t="shared" si="15"/>
        <v>0.83059610945661122</v>
      </c>
      <c r="M38" s="99">
        <f t="shared" si="15"/>
        <v>-1</v>
      </c>
    </row>
    <row r="39" spans="1:14" x14ac:dyDescent="0.3"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1:14" x14ac:dyDescent="0.3">
      <c r="B40" s="22" t="s">
        <v>228</v>
      </c>
      <c r="C40" s="104">
        <f>IFERROR('Data Sheet'!B31/'HistoricalFS &gt;'!C35,0)</f>
        <v>6.7092872219516151</v>
      </c>
      <c r="D40" s="104">
        <f>IFERROR('Data Sheet'!C31/'HistoricalFS &gt;'!D35,0)</f>
        <v>5.7130896796007082</v>
      </c>
      <c r="E40" s="104">
        <f>IFERROR('Data Sheet'!D31/'HistoricalFS &gt;'!E35,0)</f>
        <v>5.2242795041056196</v>
      </c>
      <c r="F40" s="104">
        <f>IFERROR('Data Sheet'!E31/'HistoricalFS &gt;'!F35,0)</f>
        <v>6.5</v>
      </c>
      <c r="G40" s="104">
        <f>IFERROR('Data Sheet'!F31/'HistoricalFS &gt;'!G35,0)</f>
        <v>6.5532496782496787</v>
      </c>
      <c r="H40" s="104">
        <f>IFERROR('Data Sheet'!G31/'HistoricalFS &gt;'!H35,0)</f>
        <v>7.4383043758043765</v>
      </c>
      <c r="I40" s="104">
        <f>IFERROR('Data Sheet'!H31/'HistoricalFS &gt;'!I35,0)</f>
        <v>2.0954794079794081</v>
      </c>
      <c r="J40" s="104">
        <f>IFERROR('Data Sheet'!I31/'HistoricalFS &gt;'!J35,0)</f>
        <v>7.8145913770913777</v>
      </c>
      <c r="K40" s="104">
        <f>IFERROR('Data Sheet'!J31/'HistoricalFS &gt;'!K35,0)</f>
        <v>10.332207207207208</v>
      </c>
      <c r="L40" s="104">
        <f>IFERROR('Data Sheet'!K31/'HistoricalFS &gt;'!L35,0)</f>
        <v>14.55295536791315</v>
      </c>
      <c r="M40" s="104">
        <f>IFERROR('Data Sheet'!L31/'HistoricalFS &gt;'!M35,0)</f>
        <v>0</v>
      </c>
    </row>
    <row r="41" spans="1:14" x14ac:dyDescent="0.3">
      <c r="B41" s="99" t="s">
        <v>229</v>
      </c>
      <c r="C41" s="99">
        <f>IFERROR(C40/C37,0)</f>
        <v>0.2327523325926493</v>
      </c>
      <c r="D41" s="99">
        <f t="shared" ref="D41:M41" si="16">IFERROR(D40/D37,0)</f>
        <v>0.39586110723748258</v>
      </c>
      <c r="E41" s="99">
        <f t="shared" si="16"/>
        <v>0.30104793405298558</v>
      </c>
      <c r="F41" s="99">
        <f t="shared" si="16"/>
        <v>0.4090489989462574</v>
      </c>
      <c r="G41" s="99">
        <f t="shared" si="16"/>
        <v>0.22684873224220292</v>
      </c>
      <c r="H41" s="99">
        <f t="shared" si="16"/>
        <v>0.27683211591426315</v>
      </c>
      <c r="I41" s="99">
        <f t="shared" si="16"/>
        <v>-0.21606714827194196</v>
      </c>
      <c r="J41" s="99">
        <f t="shared" si="16"/>
        <v>2.6920583019285877</v>
      </c>
      <c r="K41" s="99">
        <f t="shared" si="16"/>
        <v>0.3172748694591126</v>
      </c>
      <c r="L41" s="99">
        <f t="shared" si="16"/>
        <v>0.24411880162362756</v>
      </c>
      <c r="M41" s="99">
        <f t="shared" si="16"/>
        <v>0</v>
      </c>
    </row>
    <row r="43" spans="1:14" s="106" customFormat="1" x14ac:dyDescent="0.3">
      <c r="B43" s="107" t="s">
        <v>230</v>
      </c>
      <c r="C43" s="108">
        <f>IFERROR(IF(C37&gt;C40,1-C41,0),0)</f>
        <v>0.76724766740735073</v>
      </c>
      <c r="D43" s="108">
        <f t="shared" ref="D43:M43" si="17">IFERROR(IF(D37&gt;D40,1-D41,0),0)</f>
        <v>0.60413889276251742</v>
      </c>
      <c r="E43" s="108">
        <f t="shared" si="17"/>
        <v>0.69895206594701442</v>
      </c>
      <c r="F43" s="108">
        <f t="shared" si="17"/>
        <v>0.59095100105374265</v>
      </c>
      <c r="G43" s="108">
        <f t="shared" si="17"/>
        <v>0.77315126775779708</v>
      </c>
      <c r="H43" s="108">
        <f t="shared" si="17"/>
        <v>0.72316788408573685</v>
      </c>
      <c r="I43" s="108">
        <f t="shared" si="17"/>
        <v>0</v>
      </c>
      <c r="J43" s="108">
        <f t="shared" si="17"/>
        <v>0</v>
      </c>
      <c r="K43" s="108">
        <f t="shared" si="17"/>
        <v>0.68272513054088746</v>
      </c>
      <c r="L43" s="108">
        <f t="shared" si="17"/>
        <v>0.75588119837637247</v>
      </c>
      <c r="M43" s="108">
        <f t="shared" si="17"/>
        <v>0</v>
      </c>
    </row>
    <row r="45" spans="1:14" x14ac:dyDescent="0.3">
      <c r="A45" s="22" t="s">
        <v>141</v>
      </c>
      <c r="B45" s="95" t="s">
        <v>231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</row>
    <row r="46" spans="1:14" x14ac:dyDescent="0.3">
      <c r="A46" s="22"/>
      <c r="B46" s="22" t="s">
        <v>184</v>
      </c>
      <c r="C46" s="104">
        <f>IFERROR('Data Sheet'!B57,0)</f>
        <v>295.16000000000003</v>
      </c>
      <c r="D46" s="104">
        <f>IFERROR('Data Sheet'!C57,0)</f>
        <v>295.7</v>
      </c>
      <c r="E46" s="104">
        <f>IFERROR('Data Sheet'!D57,0)</f>
        <v>270.39999999999998</v>
      </c>
      <c r="F46" s="104">
        <f>IFERROR('Data Sheet'!E57,0)</f>
        <v>310.55</v>
      </c>
      <c r="G46" s="104">
        <f>IFERROR('Data Sheet'!F57,0)</f>
        <v>543.13</v>
      </c>
      <c r="H46" s="104">
        <f>IFERROR('Data Sheet'!G57,0)</f>
        <v>543.96</v>
      </c>
      <c r="I46" s="104">
        <f>IFERROR('Data Sheet'!H57,0)</f>
        <v>554.28</v>
      </c>
      <c r="J46" s="104">
        <f>IFERROR('Data Sheet'!I57,0)</f>
        <v>555.15</v>
      </c>
      <c r="K46" s="104">
        <f>IFERROR('Data Sheet'!J57,0)</f>
        <v>556.05999999999995</v>
      </c>
      <c r="L46" s="104">
        <f>IFERROR('Data Sheet'!K57,0)</f>
        <v>556.82000000000005</v>
      </c>
    </row>
    <row r="47" spans="1:14" x14ac:dyDescent="0.3">
      <c r="B47" s="22" t="s">
        <v>106</v>
      </c>
      <c r="C47" s="104">
        <f>IFERROR('Data Sheet'!B58,0)</f>
        <v>23011.7</v>
      </c>
      <c r="D47" s="104">
        <f>IFERROR('Data Sheet'!C58,0)</f>
        <v>25560.68</v>
      </c>
      <c r="E47" s="104">
        <f>IFERROR('Data Sheet'!D58,0)</f>
        <v>26222.25</v>
      </c>
      <c r="F47" s="104">
        <f>IFERROR('Data Sheet'!E58,0)</f>
        <v>29467.1</v>
      </c>
      <c r="G47" s="104">
        <f>IFERROR('Data Sheet'!F58,0)</f>
        <v>36232.06</v>
      </c>
      <c r="H47" s="104">
        <f>IFERROR('Data Sheet'!G58,0)</f>
        <v>39439.449999999997</v>
      </c>
      <c r="I47" s="104">
        <f>IFERROR('Data Sheet'!H58,0)</f>
        <v>39415.03</v>
      </c>
      <c r="J47" s="104">
        <f>IFERROR('Data Sheet'!I58,0)</f>
        <v>41026.769999999997</v>
      </c>
      <c r="K47" s="104">
        <f>IFERROR('Data Sheet'!J58,0)</f>
        <v>46566.58</v>
      </c>
      <c r="L47" s="104">
        <f>IFERROR('Data Sheet'!K58,0)</f>
        <v>55808.97</v>
      </c>
    </row>
    <row r="48" spans="1:14" x14ac:dyDescent="0.3">
      <c r="B48" s="22" t="s">
        <v>185</v>
      </c>
      <c r="C48" s="104">
        <f>IFERROR('Data Sheet'!B59,0)</f>
        <v>35166.79</v>
      </c>
      <c r="D48" s="104">
        <f>IFERROR('Data Sheet'!C59,0)</f>
        <v>37911.46</v>
      </c>
      <c r="E48" s="104">
        <f>IFERROR('Data Sheet'!D59,0)</f>
        <v>41552.93</v>
      </c>
      <c r="F48" s="104">
        <f>IFERROR('Data Sheet'!E59,0)</f>
        <v>48761.91</v>
      </c>
      <c r="G48" s="104">
        <f>IFERROR('Data Sheet'!F59,0)</f>
        <v>55897.919999999998</v>
      </c>
      <c r="H48" s="104">
        <f>IFERROR('Data Sheet'!G59,0)</f>
        <v>70848.3</v>
      </c>
      <c r="I48" s="104">
        <f>IFERROR('Data Sheet'!H59,0)</f>
        <v>82092.28</v>
      </c>
      <c r="J48" s="104">
        <f>IFERROR('Data Sheet'!I59,0)</f>
        <v>80624.83</v>
      </c>
      <c r="K48" s="104">
        <f>IFERROR('Data Sheet'!J59,0)</f>
        <v>77605.210000000006</v>
      </c>
      <c r="L48" s="104">
        <f>IFERROR('Data Sheet'!K59,0)</f>
        <v>92246.85</v>
      </c>
    </row>
    <row r="49" spans="1:12" x14ac:dyDescent="0.3">
      <c r="B49" s="22" t="s">
        <v>186</v>
      </c>
      <c r="C49" s="104">
        <f>IFERROR('Data Sheet'!B60,0)</f>
        <v>29414.94</v>
      </c>
      <c r="D49" s="104">
        <f>IFERROR('Data Sheet'!C60,0)</f>
        <v>30608.37</v>
      </c>
      <c r="E49" s="104">
        <f>IFERROR('Data Sheet'!D60,0)</f>
        <v>31806.240000000002</v>
      </c>
      <c r="F49" s="104">
        <f>IFERROR('Data Sheet'!E60,0)</f>
        <v>35295.919999999998</v>
      </c>
      <c r="G49" s="104">
        <f>IFERROR('Data Sheet'!F60,0)</f>
        <v>43696.2</v>
      </c>
      <c r="H49" s="104">
        <f>IFERROR('Data Sheet'!G60,0)</f>
        <v>51056.95</v>
      </c>
      <c r="I49" s="104">
        <f>IFERROR('Data Sheet'!H60,0)</f>
        <v>43654.54</v>
      </c>
      <c r="J49" s="104">
        <f>IFERROR('Data Sheet'!I60,0)</f>
        <v>42761.58</v>
      </c>
      <c r="K49" s="104">
        <f>IFERROR('Data Sheet'!J60,0)</f>
        <v>47660.639999999999</v>
      </c>
      <c r="L49" s="104">
        <f>IFERROR('Data Sheet'!K60,0)</f>
        <v>55670.49</v>
      </c>
    </row>
    <row r="50" spans="1:12" x14ac:dyDescent="0.3">
      <c r="B50" s="100" t="s">
        <v>232</v>
      </c>
      <c r="C50" s="103">
        <f>IFERROR('Data Sheet'!B61,0)</f>
        <v>87888.59</v>
      </c>
      <c r="D50" s="103">
        <f>IFERROR('Data Sheet'!C61,0)</f>
        <v>94376.21</v>
      </c>
      <c r="E50" s="103">
        <f>IFERROR('Data Sheet'!D61,0)</f>
        <v>99851.82</v>
      </c>
      <c r="F50" s="103">
        <f>IFERROR('Data Sheet'!E61,0)</f>
        <v>113835.48</v>
      </c>
      <c r="G50" s="103">
        <f>IFERROR('Data Sheet'!F61,0)</f>
        <v>136369.31</v>
      </c>
      <c r="H50" s="103">
        <f>IFERROR('Data Sheet'!G61,0)</f>
        <v>161888.66</v>
      </c>
      <c r="I50" s="103">
        <f>IFERROR('Data Sheet'!H61,0)</f>
        <v>165716.13</v>
      </c>
      <c r="J50" s="103">
        <f>IFERROR('Data Sheet'!I61,0)</f>
        <v>164968.32999999999</v>
      </c>
      <c r="K50" s="103">
        <f>IFERROR('Data Sheet'!J61,0)</f>
        <v>172388.49</v>
      </c>
      <c r="L50" s="103">
        <f>IFERROR('Data Sheet'!K61,0)</f>
        <v>204283.13</v>
      </c>
    </row>
    <row r="52" spans="1:12" x14ac:dyDescent="0.3">
      <c r="B52" s="22" t="s">
        <v>233</v>
      </c>
      <c r="C52" s="104">
        <f>IFERROR('Data Sheet'!B62,0)</f>
        <v>18380.96</v>
      </c>
      <c r="D52" s="104">
        <f>IFERROR('Data Sheet'!C62,0)</f>
        <v>19046.740000000002</v>
      </c>
      <c r="E52" s="104">
        <f>IFERROR('Data Sheet'!D62,0)</f>
        <v>20584.71</v>
      </c>
      <c r="F52" s="104">
        <f>IFERROR('Data Sheet'!E62,0)</f>
        <v>20989.01</v>
      </c>
      <c r="G52" s="104">
        <f>IFERROR('Data Sheet'!F62,0)</f>
        <v>26181.9</v>
      </c>
      <c r="H52" s="104">
        <f>IFERROR('Data Sheet'!G62,0)</f>
        <v>28982.74</v>
      </c>
      <c r="I52" s="104">
        <f>IFERROR('Data Sheet'!H62,0)</f>
        <v>29689.27</v>
      </c>
      <c r="J52" s="104">
        <f>IFERROR('Data Sheet'!I62,0)</f>
        <v>21379.68</v>
      </c>
      <c r="K52" s="104">
        <f>IFERROR('Data Sheet'!J62,0)</f>
        <v>26018.49</v>
      </c>
      <c r="L52" s="104">
        <f>IFERROR('Data Sheet'!K62,0)</f>
        <v>27139.98</v>
      </c>
    </row>
    <row r="53" spans="1:12" x14ac:dyDescent="0.3">
      <c r="B53" s="22" t="s">
        <v>188</v>
      </c>
      <c r="C53" s="104">
        <f>IFERROR('Data Sheet'!B63,0)</f>
        <v>2191.0500000000002</v>
      </c>
      <c r="D53" s="104">
        <f>IFERROR('Data Sheet'!C63,0)</f>
        <v>3032.14</v>
      </c>
      <c r="E53" s="104">
        <f>IFERROR('Data Sheet'!D63,0)</f>
        <v>2371.35</v>
      </c>
      <c r="F53" s="104">
        <f>IFERROR('Data Sheet'!E63,0)</f>
        <v>4278.9399999999996</v>
      </c>
      <c r="G53" s="104">
        <f>IFERROR('Data Sheet'!F63,0)</f>
        <v>4269.47</v>
      </c>
      <c r="H53" s="104">
        <f>IFERROR('Data Sheet'!G63,0)</f>
        <v>4759.84</v>
      </c>
      <c r="I53" s="104">
        <f>IFERROR('Data Sheet'!H63,0)</f>
        <v>6856.48</v>
      </c>
      <c r="J53" s="104">
        <f>IFERROR('Data Sheet'!I63,0)</f>
        <v>7872.61</v>
      </c>
      <c r="K53" s="104">
        <f>IFERROR('Data Sheet'!J63,0)</f>
        <v>6702.81</v>
      </c>
      <c r="L53" s="104">
        <f>IFERROR('Data Sheet'!K63,0)</f>
        <v>3968.58</v>
      </c>
    </row>
    <row r="54" spans="1:12" x14ac:dyDescent="0.3">
      <c r="B54" s="22" t="s">
        <v>129</v>
      </c>
      <c r="C54" s="104">
        <f>IFERROR('Data Sheet'!B64,0)</f>
        <v>8082.35</v>
      </c>
      <c r="D54" s="104">
        <f>IFERROR('Data Sheet'!C64,0)</f>
        <v>10027.14</v>
      </c>
      <c r="E54" s="104">
        <f>IFERROR('Data Sheet'!D64,0)</f>
        <v>11602.58</v>
      </c>
      <c r="F54" s="104">
        <f>IFERROR('Data Sheet'!E64,0)</f>
        <v>14662.44</v>
      </c>
      <c r="G54" s="104">
        <f>IFERROR('Data Sheet'!F64,0)</f>
        <v>16017.61</v>
      </c>
      <c r="H54" s="104">
        <f>IFERROR('Data Sheet'!G64,0)</f>
        <v>18268.099999999999</v>
      </c>
      <c r="I54" s="104">
        <f>IFERROR('Data Sheet'!H64,0)</f>
        <v>19210.34</v>
      </c>
      <c r="J54" s="104">
        <f>IFERROR('Data Sheet'!I64,0)</f>
        <v>28777.66</v>
      </c>
      <c r="K54" s="104">
        <f>IFERROR('Data Sheet'!J64,0)</f>
        <v>30060.43</v>
      </c>
      <c r="L54" s="104">
        <f>IFERROR('Data Sheet'!K64,0)</f>
        <v>35272.42</v>
      </c>
    </row>
    <row r="55" spans="1:12" x14ac:dyDescent="0.3">
      <c r="B55" s="22" t="s">
        <v>189</v>
      </c>
      <c r="C55" s="104">
        <f>IFERROR('Data Sheet'!B65-SUM('Data Sheet'!B67:B69),0)</f>
        <v>38632.480000000003</v>
      </c>
      <c r="D55" s="104">
        <f>IFERROR('Data Sheet'!C65-SUM('Data Sheet'!C67:C69),0)</f>
        <v>43428.810000000005</v>
      </c>
      <c r="E55" s="104">
        <f>IFERROR('Data Sheet'!D65-SUM('Data Sheet'!D67:D69),0)</f>
        <v>45831.91</v>
      </c>
      <c r="F55" s="104">
        <f>IFERROR('Data Sheet'!E65-SUM('Data Sheet'!E67:E69),0)</f>
        <v>53165.789999999994</v>
      </c>
      <c r="G55" s="104">
        <f>IFERROR('Data Sheet'!F65-SUM('Data Sheet'!F67:F69),0)</f>
        <v>65527.340000000004</v>
      </c>
      <c r="H55" s="104">
        <f>IFERROR('Data Sheet'!G65-SUM('Data Sheet'!G67:G69),0)</f>
        <v>80265.01999999999</v>
      </c>
      <c r="I55" s="104">
        <f>IFERROR('Data Sheet'!H65-SUM('Data Sheet'!H67:H69),0)</f>
        <v>84009</v>
      </c>
      <c r="J55" s="104">
        <f>IFERROR('Data Sheet'!I65-SUM('Data Sheet'!I67:I69),0)</f>
        <v>78463.22</v>
      </c>
      <c r="K55" s="104">
        <f>IFERROR('Data Sheet'!J65-SUM('Data Sheet'!J67:J69),0)</f>
        <v>80519.37999999999</v>
      </c>
      <c r="L55" s="104">
        <f>IFERROR('Data Sheet'!K65-SUM('Data Sheet'!K67:K69),0)</f>
        <v>102745.73</v>
      </c>
    </row>
    <row r="56" spans="1:12" s="22" customFormat="1" x14ac:dyDescent="0.3">
      <c r="B56" s="100" t="s">
        <v>234</v>
      </c>
      <c r="C56" s="103">
        <f>SUM(C52:C55)</f>
        <v>67286.84</v>
      </c>
      <c r="D56" s="103">
        <f t="shared" ref="D56:L56" si="18">SUM(D52:D55)</f>
        <v>75534.83</v>
      </c>
      <c r="E56" s="103">
        <f t="shared" si="18"/>
        <v>80390.55</v>
      </c>
      <c r="F56" s="103">
        <f t="shared" si="18"/>
        <v>93096.18</v>
      </c>
      <c r="G56" s="103">
        <f t="shared" si="18"/>
        <v>111996.32</v>
      </c>
      <c r="H56" s="103">
        <f t="shared" si="18"/>
        <v>132275.69999999998</v>
      </c>
      <c r="I56" s="103">
        <f t="shared" si="18"/>
        <v>139765.09</v>
      </c>
      <c r="J56" s="103">
        <f t="shared" si="18"/>
        <v>136493.16999999998</v>
      </c>
      <c r="K56" s="103">
        <f t="shared" si="18"/>
        <v>143301.10999999999</v>
      </c>
      <c r="L56" s="103">
        <f t="shared" si="18"/>
        <v>169126.71</v>
      </c>
    </row>
    <row r="58" spans="1:12" x14ac:dyDescent="0.3">
      <c r="B58" s="22" t="s">
        <v>190</v>
      </c>
      <c r="C58" s="104">
        <f>IFERROR('Data Sheet'!B67,0)</f>
        <v>5725.42</v>
      </c>
      <c r="D58" s="104">
        <f>IFERROR('Data Sheet'!C67,0)</f>
        <v>5476.16</v>
      </c>
      <c r="E58" s="104">
        <f>IFERROR('Data Sheet'!D67,0)</f>
        <v>5817.6</v>
      </c>
      <c r="F58" s="104">
        <f>IFERROR('Data Sheet'!E67,0)</f>
        <v>7199.26</v>
      </c>
      <c r="G58" s="104">
        <f>IFERROR('Data Sheet'!F67,0)</f>
        <v>8489.82</v>
      </c>
      <c r="H58" s="104">
        <f>IFERROR('Data Sheet'!G67,0)</f>
        <v>8677.89</v>
      </c>
      <c r="I58" s="104">
        <f>IFERROR('Data Sheet'!H67,0)</f>
        <v>6928.28</v>
      </c>
      <c r="J58" s="104">
        <f>IFERROR('Data Sheet'!I67,0)</f>
        <v>6007.76</v>
      </c>
      <c r="K58" s="104">
        <f>IFERROR('Data Sheet'!J67,0)</f>
        <v>6373.95</v>
      </c>
      <c r="L58" s="104">
        <f>IFERROR('Data Sheet'!K67,0)</f>
        <v>7028.02</v>
      </c>
    </row>
    <row r="59" spans="1:12" x14ac:dyDescent="0.3">
      <c r="B59" s="22" t="s">
        <v>191</v>
      </c>
      <c r="C59" s="104">
        <f>IFERROR('Data Sheet'!B68,0)</f>
        <v>8353.5400000000009</v>
      </c>
      <c r="D59" s="104">
        <f>IFERROR('Data Sheet'!C68,0)</f>
        <v>8453.39</v>
      </c>
      <c r="E59" s="104">
        <f>IFERROR('Data Sheet'!D68,0)</f>
        <v>9116.1200000000008</v>
      </c>
      <c r="F59" s="104">
        <f>IFERROR('Data Sheet'!E68,0)</f>
        <v>8886.01</v>
      </c>
      <c r="G59" s="104">
        <f>IFERROR('Data Sheet'!F68,0)</f>
        <v>9335.57</v>
      </c>
      <c r="H59" s="104">
        <f>IFERROR('Data Sheet'!G68,0)</f>
        <v>12200.16</v>
      </c>
      <c r="I59" s="104">
        <f>IFERROR('Data Sheet'!H68,0)</f>
        <v>11111.86</v>
      </c>
      <c r="J59" s="104">
        <f>IFERROR('Data Sheet'!I68,0)</f>
        <v>9615.41</v>
      </c>
      <c r="K59" s="104">
        <f>IFERROR('Data Sheet'!J68,0)</f>
        <v>11595.82</v>
      </c>
      <c r="L59" s="104">
        <f>IFERROR('Data Sheet'!K68,0)</f>
        <v>16854.97</v>
      </c>
    </row>
    <row r="60" spans="1:12" x14ac:dyDescent="0.3">
      <c r="B60" s="22" t="s">
        <v>192</v>
      </c>
      <c r="C60" s="104">
        <f>IFERROR('Data Sheet'!B69,0)</f>
        <v>6522.79</v>
      </c>
      <c r="D60" s="104">
        <f>IFERROR('Data Sheet'!C69,0)</f>
        <v>4911.83</v>
      </c>
      <c r="E60" s="104">
        <f>IFERROR('Data Sheet'!D69,0)</f>
        <v>4527.55</v>
      </c>
      <c r="F60" s="104">
        <f>IFERROR('Data Sheet'!E69,0)</f>
        <v>4654.03</v>
      </c>
      <c r="G60" s="104">
        <f>IFERROR('Data Sheet'!F69,0)</f>
        <v>6547.6</v>
      </c>
      <c r="H60" s="104">
        <f>IFERROR('Data Sheet'!G69,0)</f>
        <v>8734.91</v>
      </c>
      <c r="I60" s="104">
        <f>IFERROR('Data Sheet'!H69,0)</f>
        <v>7910.9</v>
      </c>
      <c r="J60" s="104">
        <f>IFERROR('Data Sheet'!I69,0)</f>
        <v>12851.99</v>
      </c>
      <c r="K60" s="104">
        <f>IFERROR('Data Sheet'!J69,0)</f>
        <v>11117.61</v>
      </c>
      <c r="L60" s="104">
        <f>IFERROR('Data Sheet'!K69,0)</f>
        <v>11273.43</v>
      </c>
    </row>
    <row r="61" spans="1:12" x14ac:dyDescent="0.3">
      <c r="A61" s="22"/>
      <c r="B61" s="100" t="s">
        <v>235</v>
      </c>
      <c r="C61" s="103">
        <f>SUM(C58:C60)</f>
        <v>20601.75</v>
      </c>
      <c r="D61" s="103">
        <f t="shared" ref="D61:L61" si="19">SUM(D58:D60)</f>
        <v>18841.379999999997</v>
      </c>
      <c r="E61" s="103">
        <f t="shared" si="19"/>
        <v>19461.27</v>
      </c>
      <c r="F61" s="103">
        <f t="shared" si="19"/>
        <v>20739.3</v>
      </c>
      <c r="G61" s="103">
        <f t="shared" si="19"/>
        <v>24372.989999999998</v>
      </c>
      <c r="H61" s="103">
        <f t="shared" si="19"/>
        <v>29612.959999999999</v>
      </c>
      <c r="I61" s="103">
        <f t="shared" si="19"/>
        <v>25951.040000000001</v>
      </c>
      <c r="J61" s="103">
        <f t="shared" si="19"/>
        <v>28475.16</v>
      </c>
      <c r="K61" s="103">
        <f t="shared" si="19"/>
        <v>29087.38</v>
      </c>
      <c r="L61" s="103">
        <f t="shared" si="19"/>
        <v>35156.42</v>
      </c>
    </row>
    <row r="63" spans="1:12" x14ac:dyDescent="0.3">
      <c r="B63" s="100" t="s">
        <v>236</v>
      </c>
      <c r="C63" s="101">
        <f>C61+C56</f>
        <v>87888.59</v>
      </c>
      <c r="D63" s="101">
        <f t="shared" ref="D63:L63" si="20">D61+D56</f>
        <v>94376.209999999992</v>
      </c>
      <c r="E63" s="101">
        <f t="shared" si="20"/>
        <v>99851.82</v>
      </c>
      <c r="F63" s="101">
        <f t="shared" si="20"/>
        <v>113835.48</v>
      </c>
      <c r="G63" s="101">
        <f t="shared" si="20"/>
        <v>136369.31</v>
      </c>
      <c r="H63" s="101">
        <f t="shared" si="20"/>
        <v>161888.65999999997</v>
      </c>
      <c r="I63" s="101">
        <f t="shared" si="20"/>
        <v>165716.13</v>
      </c>
      <c r="J63" s="101">
        <f t="shared" si="20"/>
        <v>164968.32999999999</v>
      </c>
      <c r="K63" s="101">
        <f t="shared" si="20"/>
        <v>172388.49</v>
      </c>
      <c r="L63" s="101">
        <f t="shared" si="20"/>
        <v>204283.13</v>
      </c>
    </row>
    <row r="65" spans="1:13" x14ac:dyDescent="0.3">
      <c r="B65" s="22" t="s">
        <v>237</v>
      </c>
      <c r="C65" s="22" t="b">
        <f>C63=C50</f>
        <v>1</v>
      </c>
      <c r="D65" s="22" t="b">
        <f t="shared" ref="D65:L65" si="21">D63=D50</f>
        <v>1</v>
      </c>
      <c r="E65" s="22" t="b">
        <f t="shared" si="21"/>
        <v>1</v>
      </c>
      <c r="F65" s="22" t="b">
        <f t="shared" si="21"/>
        <v>1</v>
      </c>
      <c r="G65" s="22" t="b">
        <f t="shared" si="21"/>
        <v>1</v>
      </c>
      <c r="H65" s="22" t="b">
        <f t="shared" si="21"/>
        <v>1</v>
      </c>
      <c r="I65" s="22" t="b">
        <f t="shared" si="21"/>
        <v>1</v>
      </c>
      <c r="J65" s="22" t="b">
        <f t="shared" si="21"/>
        <v>1</v>
      </c>
      <c r="K65" s="22" t="b">
        <f t="shared" si="21"/>
        <v>1</v>
      </c>
      <c r="L65" s="22" t="b">
        <f t="shared" si="21"/>
        <v>1</v>
      </c>
    </row>
    <row r="67" spans="1:13" x14ac:dyDescent="0.3">
      <c r="A67" s="22" t="s">
        <v>141</v>
      </c>
      <c r="B67" s="95" t="s">
        <v>238</v>
      </c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</row>
    <row r="68" spans="1:13" x14ac:dyDescent="0.3">
      <c r="B68" s="22" t="s">
        <v>239</v>
      </c>
    </row>
    <row r="69" spans="1:13" x14ac:dyDescent="0.3">
      <c r="B69" s="109" t="s">
        <v>240</v>
      </c>
      <c r="C69" s="105">
        <f>IFERROR('[2]Caseflow Statement '!E4,0)</f>
        <v>0</v>
      </c>
      <c r="D69" s="105">
        <f>IFERROR('[2]Caseflow Statement '!F4,0)</f>
        <v>0</v>
      </c>
      <c r="E69" s="105">
        <f>IFERROR('Caseflow Statement '!G4,0)</f>
        <v>43397</v>
      </c>
      <c r="F69" s="105">
        <f>IFERROR('Caseflow Statement '!H4,0)</f>
        <v>38626</v>
      </c>
      <c r="G69" s="105">
        <f>IFERROR('Caseflow Statement '!I4,0)</f>
        <v>28840</v>
      </c>
      <c r="H69" s="105">
        <f>IFERROR('Caseflow Statement '!J4,0)</f>
        <v>33312</v>
      </c>
      <c r="I69" s="105">
        <f>IFERROR('Caseflow Statement '!K4,0)</f>
        <v>28771</v>
      </c>
      <c r="J69" s="105">
        <f>IFERROR('Caseflow Statement '!L4,0)</f>
        <v>23352</v>
      </c>
      <c r="K69" s="105">
        <f>IFERROR('Caseflow Statement '!M4,0)</f>
        <v>31198</v>
      </c>
      <c r="L69" s="105">
        <f>IFERROR('Caseflow Statement '!N4,0)</f>
        <v>26666</v>
      </c>
    </row>
    <row r="70" spans="1:13" x14ac:dyDescent="0.3">
      <c r="B70" s="109" t="s">
        <v>190</v>
      </c>
      <c r="C70" s="105">
        <f>IFERROR('Caseflow Statement '!E5,0)</f>
        <v>-5177</v>
      </c>
      <c r="D70" s="105">
        <f>IFERROR('Caseflow Statement '!F5,0)</f>
        <v>445</v>
      </c>
      <c r="E70" s="105">
        <f>IFERROR('Caseflow Statement '!G5,0)</f>
        <v>-3179</v>
      </c>
      <c r="F70" s="105">
        <f>IFERROR('Caseflow Statement '!H5,0)</f>
        <v>-2223</v>
      </c>
      <c r="G70" s="105">
        <f>IFERROR('Caseflow Statement '!I5,0)</f>
        <v>-4152</v>
      </c>
      <c r="H70" s="105">
        <f>IFERROR('Caseflow Statement '!J5,0)</f>
        <v>-10688</v>
      </c>
      <c r="I70" s="105">
        <f>IFERROR('Caseflow Statement '!K5,0)</f>
        <v>-9109</v>
      </c>
      <c r="J70" s="105">
        <f>IFERROR('Caseflow Statement '!L5,0)</f>
        <v>9950</v>
      </c>
      <c r="K70" s="105">
        <f>IFERROR('Caseflow Statement '!M5,0)</f>
        <v>-5505</v>
      </c>
      <c r="L70" s="105">
        <f>IFERROR('Caseflow Statement '!N5,0)</f>
        <v>337</v>
      </c>
    </row>
    <row r="71" spans="1:13" x14ac:dyDescent="0.3">
      <c r="B71" s="109" t="s">
        <v>191</v>
      </c>
      <c r="C71" s="105">
        <f>IFERROR('Caseflow Statement '!E6,0)</f>
        <v>-2656</v>
      </c>
      <c r="D71" s="105">
        <f>IFERROR('Caseflow Statement '!F6,0)</f>
        <v>-2853</v>
      </c>
      <c r="E71" s="105">
        <f>IFERROR('Caseflow Statement '!G6,0)</f>
        <v>-3692</v>
      </c>
      <c r="F71" s="105">
        <f>IFERROR('Caseflow Statement '!H6,0)</f>
        <v>-5743</v>
      </c>
      <c r="G71" s="105">
        <f>IFERROR('Caseflow Statement '!I6,0)</f>
        <v>-6621</v>
      </c>
      <c r="H71" s="105">
        <f>IFERROR('Caseflow Statement '!J6,0)</f>
        <v>-3560</v>
      </c>
      <c r="I71" s="105">
        <f>IFERROR('Caseflow Statement '!K6,0)</f>
        <v>2069</v>
      </c>
      <c r="J71" s="105">
        <f>IFERROR('Caseflow Statement '!L6,0)</f>
        <v>2326</v>
      </c>
      <c r="K71" s="105">
        <f>IFERROR('Caseflow Statement '!M6,0)</f>
        <v>3814</v>
      </c>
      <c r="L71" s="105">
        <f>IFERROR('Caseflow Statement '!N6,0)</f>
        <v>597</v>
      </c>
    </row>
    <row r="72" spans="1:13" x14ac:dyDescent="0.3">
      <c r="B72" s="109" t="s">
        <v>241</v>
      </c>
      <c r="C72" s="105">
        <f>IFERROR('Caseflow Statement '!E7,0)</f>
        <v>8132</v>
      </c>
      <c r="D72" s="105">
        <f>IFERROR('Caseflow Statement '!F7,0)</f>
        <v>4694</v>
      </c>
      <c r="E72" s="105">
        <f>IFERROR('Caseflow Statement '!G7,0)</f>
        <v>3598</v>
      </c>
      <c r="F72" s="105">
        <f>IFERROR('Caseflow Statement '!H7,0)</f>
        <v>3947</v>
      </c>
      <c r="G72" s="105">
        <f>IFERROR('Caseflow Statement '!I7,0)</f>
        <v>9301</v>
      </c>
      <c r="H72" s="105">
        <f>IFERROR('Caseflow Statement '!J7,0)</f>
        <v>7320</v>
      </c>
      <c r="I72" s="105">
        <f>IFERROR('Caseflow Statement '!K7,0)</f>
        <v>-4692</v>
      </c>
      <c r="J72" s="105">
        <f>IFERROR('Caseflow Statement '!L7,0)</f>
        <v>-8085</v>
      </c>
      <c r="K72" s="105">
        <f>IFERROR('Caseflow Statement '!M7,0)</f>
        <v>5748</v>
      </c>
      <c r="L72" s="105">
        <f>IFERROR('Caseflow Statement '!N7,0)</f>
        <v>-7012</v>
      </c>
    </row>
    <row r="73" spans="1:13" x14ac:dyDescent="0.3">
      <c r="B73" s="109" t="s">
        <v>242</v>
      </c>
      <c r="C73" s="105">
        <f>IFERROR('Caseflow Statement '!E8,0)</f>
        <v>0</v>
      </c>
      <c r="D73" s="105">
        <f>IFERROR('Caseflow Statement '!F8,0)</f>
        <v>0</v>
      </c>
      <c r="E73" s="105">
        <f>IFERROR('Caseflow Statement '!G8,0)</f>
        <v>0</v>
      </c>
      <c r="F73" s="105">
        <f>IFERROR('Caseflow Statement '!H8,0)</f>
        <v>-520</v>
      </c>
      <c r="G73" s="105">
        <f>IFERROR('Caseflow Statement '!I8,0)</f>
        <v>0</v>
      </c>
      <c r="H73" s="105">
        <f>IFERROR('Caseflow Statement '!J8,0)</f>
        <v>0</v>
      </c>
      <c r="I73" s="105">
        <f>IFERROR('Caseflow Statement '!K8,0)</f>
        <v>0</v>
      </c>
      <c r="J73" s="105">
        <f>IFERROR('Caseflow Statement '!L8,0)</f>
        <v>0</v>
      </c>
      <c r="K73" s="105">
        <f>IFERROR('Caseflow Statement '!M8,0)</f>
        <v>0</v>
      </c>
      <c r="L73" s="105">
        <f>IFERROR('Caseflow Statement '!N8,0)</f>
        <v>0</v>
      </c>
    </row>
    <row r="74" spans="1:13" x14ac:dyDescent="0.3">
      <c r="B74" s="109" t="s">
        <v>243</v>
      </c>
      <c r="C74" s="105">
        <f>IFERROR('Caseflow Statement '!E9,0)</f>
        <v>-303</v>
      </c>
      <c r="D74" s="105">
        <f>IFERROR('Caseflow Statement '!F9,0)</f>
        <v>1870</v>
      </c>
      <c r="E74" s="105">
        <f>IFERROR('Caseflow Statement '!G9,0)</f>
        <v>-398</v>
      </c>
      <c r="F74" s="105">
        <f>IFERROR('Caseflow Statement '!H9,0)</f>
        <v>5852</v>
      </c>
      <c r="G74" s="105">
        <f>IFERROR('Caseflow Statement '!I9,0)</f>
        <v>4727</v>
      </c>
      <c r="H74" s="105">
        <f>IFERROR('Caseflow Statement '!J9,0)</f>
        <v>494</v>
      </c>
      <c r="I74" s="105">
        <f>IFERROR('Caseflow Statement '!K9,0)</f>
        <v>4512</v>
      </c>
      <c r="J74" s="105">
        <f>IFERROR('Caseflow Statement '!L9,0)</f>
        <v>875</v>
      </c>
      <c r="K74" s="105">
        <f>IFERROR('Caseflow Statement '!M9,0)</f>
        <v>-4150</v>
      </c>
      <c r="L74" s="105">
        <f>IFERROR('Caseflow Statement '!N9,0)</f>
        <v>-4396</v>
      </c>
    </row>
    <row r="75" spans="1:13" x14ac:dyDescent="0.3">
      <c r="B75" s="110" t="s">
        <v>244</v>
      </c>
      <c r="C75" s="105">
        <f>IFERROR('Caseflow Statement '!#REF!,0)</f>
        <v>0</v>
      </c>
      <c r="D75" s="105">
        <f>IFERROR('Caseflow Statement '!#REF!,0)</f>
        <v>0</v>
      </c>
      <c r="E75" s="105">
        <f>IFERROR('Caseflow Statement '!#REF!,0)</f>
        <v>0</v>
      </c>
      <c r="F75" s="105">
        <f>IFERROR('Caseflow Statement '!#REF!,0)</f>
        <v>0</v>
      </c>
      <c r="G75" s="105">
        <f>IFERROR('Caseflow Statement '!#REF!,0)</f>
        <v>0</v>
      </c>
      <c r="H75" s="105">
        <f>IFERROR('Caseflow Statement '!#REF!,0)</f>
        <v>0</v>
      </c>
      <c r="I75" s="105">
        <f>IFERROR('Caseflow Statement '!#REF!,0)</f>
        <v>0</v>
      </c>
      <c r="J75" s="105">
        <f>IFERROR('Caseflow Statement '!#REF!,0)</f>
        <v>0</v>
      </c>
      <c r="K75" s="105">
        <f>IFERROR('Caseflow Statement '!#REF!,0)</f>
        <v>0</v>
      </c>
      <c r="L75" s="105">
        <f>IFERROR('Caseflow Statement '!#REF!,0)</f>
        <v>0</v>
      </c>
    </row>
    <row r="76" spans="1:13" x14ac:dyDescent="0.3">
      <c r="B76" s="109" t="s">
        <v>245</v>
      </c>
      <c r="C76" s="105">
        <f>IFERROR('Caseflow Statement '!E10,0)</f>
        <v>-2240</v>
      </c>
      <c r="D76" s="105">
        <f>IFERROR('Caseflow Statement '!F10,0)</f>
        <v>-4308</v>
      </c>
      <c r="E76" s="105">
        <f>IFERROR('Caseflow Statement '!G10,0)</f>
        <v>-4194</v>
      </c>
      <c r="F76" s="105">
        <f>IFERROR('Caseflow Statement '!H10,0)</f>
        <v>-2040</v>
      </c>
      <c r="G76" s="105">
        <f>IFERROR('Caseflow Statement '!I10,0)</f>
        <v>-1895</v>
      </c>
      <c r="H76" s="105">
        <f>IFERROR('Caseflow Statement '!J10,0)</f>
        <v>-3021</v>
      </c>
      <c r="I76" s="105">
        <f>IFERROR('Caseflow Statement '!K10,0)</f>
        <v>-2659</v>
      </c>
      <c r="J76" s="105">
        <f>IFERROR('Caseflow Statement '!L10,0)</f>
        <v>-1785</v>
      </c>
      <c r="K76" s="105">
        <f>IFERROR('Caseflow Statement '!M10,0)</f>
        <v>-2105</v>
      </c>
      <c r="L76" s="105">
        <f>IFERROR('Caseflow Statement '!N10,0)</f>
        <v>-1910</v>
      </c>
    </row>
    <row r="77" spans="1:13" x14ac:dyDescent="0.3">
      <c r="B77" s="111" t="s">
        <v>246</v>
      </c>
      <c r="C77" s="104">
        <f>SUM(C69:C76)</f>
        <v>-2244</v>
      </c>
      <c r="D77" s="104">
        <f t="shared" ref="D77:L77" si="22">SUM(D69:D76)</f>
        <v>-152</v>
      </c>
      <c r="E77" s="104">
        <f t="shared" si="22"/>
        <v>35532</v>
      </c>
      <c r="F77" s="104">
        <f t="shared" si="22"/>
        <v>37899</v>
      </c>
      <c r="G77" s="104">
        <f t="shared" si="22"/>
        <v>30200</v>
      </c>
      <c r="H77" s="104">
        <f t="shared" si="22"/>
        <v>23857</v>
      </c>
      <c r="I77" s="104">
        <f t="shared" si="22"/>
        <v>18892</v>
      </c>
      <c r="J77" s="104">
        <f t="shared" si="22"/>
        <v>26633</v>
      </c>
      <c r="K77" s="104">
        <f t="shared" si="22"/>
        <v>29000</v>
      </c>
      <c r="L77" s="104">
        <f t="shared" si="22"/>
        <v>14282</v>
      </c>
    </row>
    <row r="79" spans="1:13" x14ac:dyDescent="0.3">
      <c r="B79" s="22" t="s">
        <v>247</v>
      </c>
    </row>
    <row r="80" spans="1:13" x14ac:dyDescent="0.3">
      <c r="B80" t="s">
        <v>248</v>
      </c>
      <c r="C80" s="105">
        <f>IFERROR('Caseflow Statement '!E14,0)</f>
        <v>-18863</v>
      </c>
      <c r="D80" s="105">
        <f>IFERROR('Caseflow Statement '!F14,0)</f>
        <v>-26975</v>
      </c>
      <c r="E80" s="105">
        <f>IFERROR('Caseflow Statement '!G14,0)</f>
        <v>-31962</v>
      </c>
      <c r="F80" s="105">
        <f>IFERROR('Caseflow Statement '!H14,0)</f>
        <v>-31503</v>
      </c>
      <c r="G80" s="105">
        <f>IFERROR('Caseflow Statement '!I14,0)</f>
        <v>-16072</v>
      </c>
      <c r="H80" s="105">
        <f>IFERROR('Caseflow Statement '!J14,0)</f>
        <v>-35079</v>
      </c>
      <c r="I80" s="105">
        <f>IFERROR('Caseflow Statement '!K14,0)</f>
        <v>-35304</v>
      </c>
      <c r="J80" s="105">
        <f>IFERROR('Caseflow Statement '!L14,0)</f>
        <v>-29702</v>
      </c>
      <c r="K80" s="105">
        <f>IFERROR('Caseflow Statement '!M14,0)</f>
        <v>-20205</v>
      </c>
      <c r="L80" s="105">
        <f>IFERROR('Caseflow Statement '!N14,0)</f>
        <v>-15168</v>
      </c>
    </row>
    <row r="81" spans="2:12" x14ac:dyDescent="0.3">
      <c r="B81" t="s">
        <v>249</v>
      </c>
      <c r="C81" s="105">
        <f>IFERROR('Caseflow Statement '!E15,0)</f>
        <v>37</v>
      </c>
      <c r="D81" s="105">
        <f>IFERROR('Caseflow Statement '!F15,0)</f>
        <v>50</v>
      </c>
      <c r="E81" s="105">
        <f>IFERROR('Caseflow Statement '!G15,0)</f>
        <v>74</v>
      </c>
      <c r="F81" s="105">
        <f>IFERROR('Caseflow Statement '!H15,0)</f>
        <v>59</v>
      </c>
      <c r="G81" s="105">
        <f>IFERROR('Caseflow Statement '!I15,0)</f>
        <v>53</v>
      </c>
      <c r="H81" s="105">
        <f>IFERROR('Caseflow Statement '!J15,0)</f>
        <v>30</v>
      </c>
      <c r="I81" s="105">
        <f>IFERROR('Caseflow Statement '!K15,0)</f>
        <v>67</v>
      </c>
      <c r="J81" s="105">
        <f>IFERROR('Caseflow Statement '!L15,0)</f>
        <v>171</v>
      </c>
      <c r="K81" s="105">
        <f>IFERROR('Caseflow Statement '!M15,0)</f>
        <v>351</v>
      </c>
      <c r="L81" s="105">
        <f>IFERROR('Caseflow Statement '!N15,0)</f>
        <v>230</v>
      </c>
    </row>
    <row r="82" spans="2:12" x14ac:dyDescent="0.3">
      <c r="B82" t="s">
        <v>250</v>
      </c>
      <c r="C82" s="105">
        <f>IFERROR('Caseflow Statement '!E16,0)</f>
        <v>73</v>
      </c>
      <c r="D82" s="105">
        <f>IFERROR('Caseflow Statement '!F16,0)</f>
        <v>-429</v>
      </c>
      <c r="E82" s="105">
        <f>IFERROR('Caseflow Statement '!G16,0)</f>
        <v>-5461</v>
      </c>
      <c r="F82" s="105">
        <f>IFERROR('Caseflow Statement '!H16,0)</f>
        <v>-4728</v>
      </c>
      <c r="G82" s="105">
        <f>IFERROR('Caseflow Statement '!I16,0)</f>
        <v>-6</v>
      </c>
      <c r="H82" s="105">
        <f>IFERROR('Caseflow Statement '!J16,0)</f>
        <v>-329</v>
      </c>
      <c r="I82" s="105">
        <f>IFERROR('Caseflow Statement '!K16,0)</f>
        <v>-130</v>
      </c>
      <c r="J82" s="105">
        <f>IFERROR('Caseflow Statement '!L16,0)</f>
        <v>-1439</v>
      </c>
      <c r="K82" s="105">
        <f>IFERROR('Caseflow Statement '!M16,0)</f>
        <v>-7530</v>
      </c>
      <c r="L82" s="105">
        <f>IFERROR('Caseflow Statement '!N16,0)</f>
        <v>-3008</v>
      </c>
    </row>
    <row r="83" spans="2:12" x14ac:dyDescent="0.3">
      <c r="B83" t="s">
        <v>251</v>
      </c>
      <c r="C83" s="105">
        <f>IFERROR('Caseflow Statement '!E17,0)</f>
        <v>34</v>
      </c>
      <c r="D83" s="105">
        <f>IFERROR('Caseflow Statement '!F17,0)</f>
        <v>4</v>
      </c>
      <c r="E83" s="105">
        <f>IFERROR('Caseflow Statement '!G17,0)</f>
        <v>42</v>
      </c>
      <c r="F83" s="105">
        <f>IFERROR('Caseflow Statement '!H17,0)</f>
        <v>89</v>
      </c>
      <c r="G83" s="105">
        <f>IFERROR('Caseflow Statement '!I17,0)</f>
        <v>1965</v>
      </c>
      <c r="H83" s="105">
        <f>IFERROR('Caseflow Statement '!J17,0)</f>
        <v>2381</v>
      </c>
      <c r="I83" s="105">
        <f>IFERROR('Caseflow Statement '!K17,0)</f>
        <v>5644</v>
      </c>
      <c r="J83" s="105">
        <f>IFERROR('Caseflow Statement '!L17,0)</f>
        <v>21</v>
      </c>
      <c r="K83" s="105">
        <f>IFERROR('Caseflow Statement '!M17,0)</f>
        <v>226</v>
      </c>
      <c r="L83" s="105">
        <f>IFERROR('Caseflow Statement '!N17,0)</f>
        <v>104</v>
      </c>
    </row>
    <row r="84" spans="2:12" x14ac:dyDescent="0.3">
      <c r="B84" t="s">
        <v>252</v>
      </c>
      <c r="C84" s="105">
        <f>IFERROR('Caseflow Statement '!E18,0)</f>
        <v>713</v>
      </c>
      <c r="D84" s="105">
        <f>IFERROR('Caseflow Statement '!F18,0)</f>
        <v>653</v>
      </c>
      <c r="E84" s="105">
        <f>IFERROR('Caseflow Statement '!G18,0)</f>
        <v>698</v>
      </c>
      <c r="F84" s="105">
        <f>IFERROR('Caseflow Statement '!H18,0)</f>
        <v>731</v>
      </c>
      <c r="G84" s="105">
        <f>IFERROR('Caseflow Statement '!I18,0)</f>
        <v>638</v>
      </c>
      <c r="H84" s="105">
        <f>IFERROR('Caseflow Statement '!J18,0)</f>
        <v>690</v>
      </c>
      <c r="I84" s="105">
        <f>IFERROR('Caseflow Statement '!K18,0)</f>
        <v>761</v>
      </c>
      <c r="J84" s="105">
        <f>IFERROR('Caseflow Statement '!L18,0)</f>
        <v>1104</v>
      </c>
      <c r="K84" s="105">
        <f>IFERROR('Caseflow Statement '!M18,0)</f>
        <v>428</v>
      </c>
      <c r="L84" s="105">
        <f>IFERROR('Caseflow Statement '!N18,0)</f>
        <v>653</v>
      </c>
    </row>
    <row r="85" spans="2:12" x14ac:dyDescent="0.3">
      <c r="B85" t="s">
        <v>253</v>
      </c>
      <c r="C85" s="105">
        <f>IFERROR('Caseflow Statement '!E19,0)</f>
        <v>95</v>
      </c>
      <c r="D85" s="105">
        <f>IFERROR('Caseflow Statement '!F19,0)</f>
        <v>40</v>
      </c>
      <c r="E85" s="105">
        <f>IFERROR('Caseflow Statement '!G19,0)</f>
        <v>80</v>
      </c>
      <c r="F85" s="105">
        <f>IFERROR('Caseflow Statement '!H19,0)</f>
        <v>58</v>
      </c>
      <c r="G85" s="105">
        <f>IFERROR('Caseflow Statement '!I19,0)</f>
        <v>620</v>
      </c>
      <c r="H85" s="105">
        <f>IFERROR('Caseflow Statement '!J19,0)</f>
        <v>1797</v>
      </c>
      <c r="I85" s="105">
        <f>IFERROR('Caseflow Statement '!K19,0)</f>
        <v>232</v>
      </c>
      <c r="J85" s="105">
        <f>IFERROR('Caseflow Statement '!L19,0)</f>
        <v>21</v>
      </c>
      <c r="K85" s="105">
        <f>IFERROR('Caseflow Statement '!M19,0)</f>
        <v>18</v>
      </c>
      <c r="L85" s="105">
        <f>IFERROR('Caseflow Statement '!N19,0)</f>
        <v>32</v>
      </c>
    </row>
    <row r="86" spans="2:12" x14ac:dyDescent="0.3">
      <c r="B86" t="s">
        <v>254</v>
      </c>
      <c r="C86" s="105">
        <f>IFERROR('Caseflow Statement '!E20,0)</f>
        <v>0</v>
      </c>
      <c r="D86" s="105">
        <f>IFERROR('Caseflow Statement '!F20,0)</f>
        <v>0</v>
      </c>
      <c r="E86" s="105">
        <f>IFERROR('Caseflow Statement '!G20,0)</f>
        <v>0</v>
      </c>
      <c r="F86" s="105">
        <f>IFERROR('Caseflow Statement '!H20,0)</f>
        <v>0</v>
      </c>
      <c r="G86" s="105">
        <f>IFERROR('Caseflow Statement '!I20,0)</f>
        <v>0</v>
      </c>
      <c r="H86" s="105">
        <f>IFERROR('Caseflow Statement '!J20,0)</f>
        <v>0</v>
      </c>
      <c r="I86" s="105">
        <f>IFERROR('Caseflow Statement '!K20,0)</f>
        <v>0</v>
      </c>
      <c r="J86" s="105">
        <f>IFERROR('Caseflow Statement '!L20,0)</f>
        <v>0</v>
      </c>
      <c r="K86" s="105">
        <f>IFERROR('Caseflow Statement '!M20,0)</f>
        <v>0</v>
      </c>
      <c r="L86" s="105">
        <f>IFERROR('Caseflow Statement '!N20,0)</f>
        <v>0</v>
      </c>
    </row>
    <row r="87" spans="2:12" x14ac:dyDescent="0.3">
      <c r="B87" t="s">
        <v>255</v>
      </c>
      <c r="C87" s="105">
        <f>IFERROR('Caseflow Statement '!E21,0)</f>
        <v>0</v>
      </c>
      <c r="D87" s="105">
        <f>IFERROR('Caseflow Statement '!F21,0)</f>
        <v>0</v>
      </c>
      <c r="E87" s="105">
        <f>IFERROR('Caseflow Statement '!G21,0)</f>
        <v>-160</v>
      </c>
      <c r="F87" s="105">
        <f>IFERROR('Caseflow Statement '!H21,0)</f>
        <v>0</v>
      </c>
      <c r="G87" s="105">
        <f>IFERROR('Caseflow Statement '!I21,0)</f>
        <v>-107</v>
      </c>
      <c r="H87" s="105">
        <f>IFERROR('Caseflow Statement '!J21,0)</f>
        <v>-4</v>
      </c>
      <c r="I87" s="105">
        <f>IFERROR('Caseflow Statement '!K21,0)</f>
        <v>-9</v>
      </c>
      <c r="J87" s="105">
        <f>IFERROR('Caseflow Statement '!L21,0)</f>
        <v>-606</v>
      </c>
      <c r="K87" s="105">
        <f>IFERROR('Caseflow Statement '!M21,0)</f>
        <v>-10</v>
      </c>
      <c r="L87" s="105">
        <f>IFERROR('Caseflow Statement '!N21,0)</f>
        <v>0</v>
      </c>
    </row>
    <row r="88" spans="2:12" x14ac:dyDescent="0.3">
      <c r="B88" t="s">
        <v>256</v>
      </c>
      <c r="C88" s="105">
        <f>IFERROR('Caseflow Statement '!E22,0)</f>
        <v>0</v>
      </c>
      <c r="D88" s="105">
        <f>IFERROR('Caseflow Statement '!F22,0)</f>
        <v>0</v>
      </c>
      <c r="E88" s="105">
        <f>IFERROR('Caseflow Statement '!G22,0)</f>
        <v>0</v>
      </c>
      <c r="F88" s="105">
        <f>IFERROR('Caseflow Statement '!H22,0)</f>
        <v>0</v>
      </c>
      <c r="G88" s="105">
        <f>IFERROR('Caseflow Statement '!I22,0)</f>
        <v>0</v>
      </c>
      <c r="H88" s="105">
        <f>IFERROR('Caseflow Statement '!J22,0)</f>
        <v>14</v>
      </c>
      <c r="I88" s="105">
        <f>IFERROR('Caseflow Statement '!K22,0)</f>
        <v>533</v>
      </c>
      <c r="J88" s="105">
        <f>IFERROR('Caseflow Statement '!L22,0)</f>
        <v>0</v>
      </c>
      <c r="K88" s="105">
        <f>IFERROR('Caseflow Statement '!M22,0)</f>
        <v>0</v>
      </c>
      <c r="L88" s="105">
        <f>IFERROR('Caseflow Statement '!N22,0)</f>
        <v>0</v>
      </c>
    </row>
    <row r="89" spans="2:12" x14ac:dyDescent="0.3">
      <c r="B89" t="s">
        <v>257</v>
      </c>
      <c r="C89" s="105">
        <f>IFERROR('Caseflow Statement '!E23,0)</f>
        <v>0</v>
      </c>
      <c r="D89" s="105">
        <f>IFERROR('Caseflow Statement '!F23,0)</f>
        <v>-185</v>
      </c>
      <c r="E89" s="105">
        <f>IFERROR('Caseflow Statement '!G23,0)</f>
        <v>0</v>
      </c>
      <c r="F89" s="105">
        <f>IFERROR('Caseflow Statement '!H23,0)</f>
        <v>-111</v>
      </c>
      <c r="G89" s="105">
        <f>IFERROR('Caseflow Statement '!I23,0)</f>
        <v>0</v>
      </c>
      <c r="H89" s="105">
        <f>IFERROR('Caseflow Statement '!J23,0)</f>
        <v>0</v>
      </c>
      <c r="I89" s="105">
        <f>IFERROR('Caseflow Statement '!K23,0)</f>
        <v>-8</v>
      </c>
      <c r="J89" s="105">
        <f>IFERROR('Caseflow Statement '!L23,0)</f>
        <v>-27</v>
      </c>
      <c r="K89" s="105">
        <f>IFERROR('Caseflow Statement '!M23,0)</f>
        <v>0</v>
      </c>
      <c r="L89" s="105">
        <f>IFERROR('Caseflow Statement '!N23,0)</f>
        <v>-98</v>
      </c>
    </row>
    <row r="90" spans="2:12" x14ac:dyDescent="0.3">
      <c r="B90" t="s">
        <v>258</v>
      </c>
      <c r="C90" s="105">
        <f>IFERROR('Caseflow Statement '!E24,0)</f>
        <v>45</v>
      </c>
      <c r="D90" s="105">
        <f>IFERROR('Caseflow Statement '!F24,0)</f>
        <v>0</v>
      </c>
      <c r="E90" s="105">
        <f>IFERROR('Caseflow Statement '!G24,0)</f>
        <v>0</v>
      </c>
      <c r="F90" s="105">
        <f>IFERROR('Caseflow Statement '!H24,0)</f>
        <v>0</v>
      </c>
      <c r="G90" s="105">
        <f>IFERROR('Caseflow Statement '!I24,0)</f>
        <v>0</v>
      </c>
      <c r="H90" s="105">
        <f>IFERROR('Caseflow Statement '!J24,0)</f>
        <v>0</v>
      </c>
      <c r="I90" s="105">
        <f>IFERROR('Caseflow Statement '!K24,0)</f>
        <v>0</v>
      </c>
      <c r="J90" s="105">
        <f>IFERROR('Caseflow Statement '!L24,0)</f>
        <v>0</v>
      </c>
      <c r="K90" s="105">
        <f>IFERROR('Caseflow Statement '!M24,0)</f>
        <v>0</v>
      </c>
      <c r="L90" s="105">
        <f>IFERROR('Caseflow Statement '!N24,0)</f>
        <v>0</v>
      </c>
    </row>
    <row r="91" spans="2:12" x14ac:dyDescent="0.3">
      <c r="B91" t="s">
        <v>259</v>
      </c>
      <c r="C91" s="105">
        <f>IFERROR('Caseflow Statement '!E25,0)</f>
        <v>-5103</v>
      </c>
      <c r="D91" s="105">
        <f>IFERROR('Caseflow Statement '!F25,0)</f>
        <v>-1149</v>
      </c>
      <c r="E91" s="105">
        <f>IFERROR('Caseflow Statement '!G25,0)</f>
        <v>456</v>
      </c>
      <c r="F91" s="105">
        <f>IFERROR('Caseflow Statement '!H25,0)</f>
        <v>-1289</v>
      </c>
      <c r="G91" s="105">
        <f>IFERROR('Caseflow Statement '!I25,0)</f>
        <v>-26663</v>
      </c>
      <c r="H91" s="105">
        <f>IFERROR('Caseflow Statement '!J25,0)</f>
        <v>5360</v>
      </c>
      <c r="I91" s="105">
        <f>IFERROR('Caseflow Statement '!K25,0)</f>
        <v>7335</v>
      </c>
      <c r="J91" s="105">
        <f>IFERROR('Caseflow Statement '!L25,0)</f>
        <v>-2659</v>
      </c>
      <c r="K91" s="105">
        <f>IFERROR('Caseflow Statement '!M25,0)</f>
        <v>1051</v>
      </c>
      <c r="L91" s="105">
        <f>IFERROR('Caseflow Statement '!N25,0)</f>
        <v>12813</v>
      </c>
    </row>
    <row r="92" spans="2:12" x14ac:dyDescent="0.3">
      <c r="B92" s="111" t="s">
        <v>260</v>
      </c>
      <c r="C92" s="104">
        <f>SUM(C80:C91)</f>
        <v>-22969</v>
      </c>
      <c r="D92" s="104">
        <f t="shared" ref="D92:L92" si="23">SUM(D80:D91)</f>
        <v>-27991</v>
      </c>
      <c r="E92" s="104">
        <f t="shared" si="23"/>
        <v>-36233</v>
      </c>
      <c r="F92" s="104">
        <f t="shared" si="23"/>
        <v>-36694</v>
      </c>
      <c r="G92" s="104">
        <f t="shared" si="23"/>
        <v>-39572</v>
      </c>
      <c r="H92" s="104">
        <f t="shared" si="23"/>
        <v>-25140</v>
      </c>
      <c r="I92" s="104">
        <f t="shared" si="23"/>
        <v>-20879</v>
      </c>
      <c r="J92" s="104">
        <f t="shared" si="23"/>
        <v>-33116</v>
      </c>
      <c r="K92" s="104">
        <f t="shared" si="23"/>
        <v>-25671</v>
      </c>
      <c r="L92" s="104">
        <f t="shared" si="23"/>
        <v>-4442</v>
      </c>
    </row>
    <row r="94" spans="2:12" x14ac:dyDescent="0.3">
      <c r="B94" s="22" t="s">
        <v>261</v>
      </c>
    </row>
    <row r="95" spans="2:12" x14ac:dyDescent="0.3">
      <c r="B95" t="s">
        <v>262</v>
      </c>
      <c r="C95" s="105">
        <f>IFERROR('Caseflow Statement '!E29,0)</f>
        <v>1</v>
      </c>
      <c r="D95" s="105">
        <f>IFERROR('Caseflow Statement '!F29,0)</f>
        <v>0</v>
      </c>
      <c r="E95" s="105">
        <f>IFERROR('Caseflow Statement '!G29,0)</f>
        <v>0</v>
      </c>
      <c r="F95" s="105">
        <f>IFERROR('Caseflow Statement '!H29,0)</f>
        <v>7433</v>
      </c>
      <c r="G95" s="105">
        <f>IFERROR('Caseflow Statement '!I29,0)</f>
        <v>5</v>
      </c>
      <c r="H95" s="105">
        <f>IFERROR('Caseflow Statement '!J29,0)</f>
        <v>0</v>
      </c>
      <c r="I95" s="105">
        <f>IFERROR('Caseflow Statement '!K29,0)</f>
        <v>0</v>
      </c>
      <c r="J95" s="105">
        <f>IFERROR('Caseflow Statement '!L29,0)</f>
        <v>3889</v>
      </c>
      <c r="K95" s="105">
        <f>IFERROR('Caseflow Statement '!M29,0)</f>
        <v>2603</v>
      </c>
      <c r="L95" s="105">
        <f>IFERROR('Caseflow Statement '!N29,0)</f>
        <v>19</v>
      </c>
    </row>
    <row r="96" spans="2:12" x14ac:dyDescent="0.3">
      <c r="B96" t="s">
        <v>263</v>
      </c>
      <c r="C96" s="105">
        <f>IFERROR('Caseflow Statement '!E30,0)</f>
        <v>-97</v>
      </c>
      <c r="D96" s="105">
        <f>IFERROR('Caseflow Statement '!F30,0)</f>
        <v>-658</v>
      </c>
      <c r="E96" s="105">
        <f>IFERROR('Caseflow Statement '!G30,0)</f>
        <v>-744</v>
      </c>
      <c r="F96" s="105">
        <f>IFERROR('Caseflow Statement '!H30,0)</f>
        <v>0</v>
      </c>
      <c r="G96" s="105">
        <f>IFERROR('Caseflow Statement '!I30,0)</f>
        <v>0</v>
      </c>
      <c r="H96" s="105">
        <f>IFERROR('Caseflow Statement '!J30,0)</f>
        <v>0</v>
      </c>
      <c r="I96" s="105">
        <f>IFERROR('Caseflow Statement '!K30,0)</f>
        <v>0</v>
      </c>
      <c r="J96" s="105">
        <f>IFERROR('Caseflow Statement '!L30,0)</f>
        <v>0</v>
      </c>
      <c r="K96" s="105">
        <f>IFERROR('Caseflow Statement '!M30,0)</f>
        <v>0</v>
      </c>
      <c r="L96" s="105">
        <f>IFERROR('Caseflow Statement '!N30,0)</f>
        <v>0</v>
      </c>
    </row>
    <row r="97" spans="2:14" x14ac:dyDescent="0.3">
      <c r="B97" t="s">
        <v>264</v>
      </c>
      <c r="C97" s="105">
        <f>IFERROR('Caseflow Statement '!E31,0)</f>
        <v>27863</v>
      </c>
      <c r="D97" s="105">
        <f>IFERROR('Caseflow Statement '!F31,0)</f>
        <v>33258</v>
      </c>
      <c r="E97" s="105">
        <f>IFERROR('Caseflow Statement '!G31,0)</f>
        <v>36363</v>
      </c>
      <c r="F97" s="105">
        <f>IFERROR('Caseflow Statement '!H31,0)</f>
        <v>19519</v>
      </c>
      <c r="G97" s="105">
        <f>IFERROR('Caseflow Statement '!I31,0)</f>
        <v>33390</v>
      </c>
      <c r="H97" s="105">
        <f>IFERROR('Caseflow Statement '!J31,0)</f>
        <v>37482</v>
      </c>
      <c r="I97" s="105">
        <f>IFERROR('Caseflow Statement '!K31,0)</f>
        <v>51128</v>
      </c>
      <c r="J97" s="105">
        <f>IFERROR('Caseflow Statement '!L31,0)</f>
        <v>38297</v>
      </c>
      <c r="K97" s="105">
        <f>IFERROR('Caseflow Statement '!M31,0)</f>
        <v>46641</v>
      </c>
      <c r="L97" s="105">
        <f>IFERROR('Caseflow Statement '!N31,0)</f>
        <v>46578</v>
      </c>
    </row>
    <row r="98" spans="2:14" x14ac:dyDescent="0.3">
      <c r="B98" t="s">
        <v>265</v>
      </c>
      <c r="C98" s="105">
        <f>IFERROR('Caseflow Statement '!E32,0)</f>
        <v>-20395</v>
      </c>
      <c r="D98" s="105">
        <f>IFERROR('Caseflow Statement '!F32,0)</f>
        <v>-29141</v>
      </c>
      <c r="E98" s="105">
        <f>IFERROR('Caseflow Statement '!G32,0)</f>
        <v>-23332</v>
      </c>
      <c r="F98" s="105">
        <f>IFERROR('Caseflow Statement '!H32,0)</f>
        <v>-24924</v>
      </c>
      <c r="G98" s="105">
        <f>IFERROR('Caseflow Statement '!I32,0)</f>
        <v>-21732</v>
      </c>
      <c r="H98" s="105">
        <f>IFERROR('Caseflow Statement '!J32,0)</f>
        <v>-29964</v>
      </c>
      <c r="I98" s="105">
        <f>IFERROR('Caseflow Statement '!K32,0)</f>
        <v>-35198</v>
      </c>
      <c r="J98" s="105">
        <f>IFERROR('Caseflow Statement '!L32,0)</f>
        <v>-29847</v>
      </c>
      <c r="K98" s="105">
        <f>IFERROR('Caseflow Statement '!M32,0)</f>
        <v>-29709</v>
      </c>
      <c r="L98" s="105">
        <f>IFERROR('Caseflow Statement '!N32,0)</f>
        <v>-42816</v>
      </c>
    </row>
    <row r="99" spans="2:14" x14ac:dyDescent="0.3">
      <c r="B99" t="s">
        <v>266</v>
      </c>
      <c r="C99" s="105">
        <f>IFERROR('Caseflow Statement '!E33,0)</f>
        <v>0</v>
      </c>
      <c r="D99" s="105">
        <f>IFERROR('Caseflow Statement '!F33,0)</f>
        <v>0</v>
      </c>
      <c r="E99" s="105">
        <f>IFERROR('Caseflow Statement '!G33,0)</f>
        <v>0</v>
      </c>
      <c r="F99" s="105">
        <f>IFERROR('Caseflow Statement '!H33,0)</f>
        <v>0</v>
      </c>
      <c r="G99" s="105">
        <f>IFERROR('Caseflow Statement '!I33,0)</f>
        <v>0</v>
      </c>
      <c r="H99" s="105">
        <f>IFERROR('Caseflow Statement '!J33,0)</f>
        <v>0</v>
      </c>
      <c r="I99" s="105">
        <f>IFERROR('Caseflow Statement '!K33,0)</f>
        <v>0</v>
      </c>
      <c r="J99" s="105">
        <f>IFERROR('Caseflow Statement '!L33,0)</f>
        <v>0</v>
      </c>
      <c r="K99" s="105">
        <f>IFERROR('Caseflow Statement '!M33,0)</f>
        <v>0</v>
      </c>
      <c r="L99" s="105">
        <f>IFERROR('Caseflow Statement '!N33,0)</f>
        <v>0</v>
      </c>
    </row>
    <row r="100" spans="2:14" x14ac:dyDescent="0.3">
      <c r="B100" t="s">
        <v>267</v>
      </c>
      <c r="C100" s="105">
        <f>IFERROR('Caseflow Statement '!E34,0)</f>
        <v>-4666</v>
      </c>
      <c r="D100" s="105">
        <f>IFERROR('Caseflow Statement '!F34,0)</f>
        <v>-6171</v>
      </c>
      <c r="E100" s="105">
        <f>IFERROR('Caseflow Statement '!G34,0)</f>
        <v>-6307</v>
      </c>
      <c r="F100" s="105">
        <f>IFERROR('Caseflow Statement '!H34,0)</f>
        <v>-5716</v>
      </c>
      <c r="G100" s="105">
        <f>IFERROR('Caseflow Statement '!I34,0)</f>
        <v>-5336</v>
      </c>
      <c r="H100" s="105">
        <f>IFERROR('Caseflow Statement '!J34,0)</f>
        <v>-5411</v>
      </c>
      <c r="I100" s="105">
        <f>IFERROR('Caseflow Statement '!K34,0)</f>
        <v>-7005</v>
      </c>
      <c r="J100" s="105">
        <f>IFERROR('Caseflow Statement '!L34,0)</f>
        <v>-7518</v>
      </c>
      <c r="K100" s="105">
        <f>IFERROR('Caseflow Statement '!M34,0)</f>
        <v>-8123</v>
      </c>
      <c r="L100" s="105">
        <f>IFERROR('Caseflow Statement '!N34,0)</f>
        <v>-9251</v>
      </c>
    </row>
    <row r="101" spans="2:14" x14ac:dyDescent="0.3">
      <c r="B101" t="s">
        <v>268</v>
      </c>
      <c r="C101" s="105">
        <f>IFERROR('Caseflow Statement '!E35,0)</f>
        <v>-1551</v>
      </c>
      <c r="D101" s="105">
        <f>IFERROR('Caseflow Statement '!F35,0)</f>
        <v>-722</v>
      </c>
      <c r="E101" s="105">
        <f>IFERROR('Caseflow Statement '!G35,0)</f>
        <v>-720</v>
      </c>
      <c r="F101" s="105">
        <f>IFERROR('Caseflow Statement '!H35,0)</f>
        <v>-108</v>
      </c>
      <c r="G101" s="105">
        <f>IFERROR('Caseflow Statement '!I35,0)</f>
        <v>-121</v>
      </c>
      <c r="H101" s="105">
        <f>IFERROR('Caseflow Statement '!J35,0)</f>
        <v>-96</v>
      </c>
      <c r="I101" s="105">
        <f>IFERROR('Caseflow Statement '!K35,0)</f>
        <v>-95</v>
      </c>
      <c r="J101" s="105">
        <f>IFERROR('Caseflow Statement '!L35,0)</f>
        <v>-57</v>
      </c>
      <c r="K101" s="105">
        <f>IFERROR('Caseflow Statement '!M35,0)</f>
        <v>-30</v>
      </c>
      <c r="L101" s="105">
        <f>IFERROR('Caseflow Statement '!N35,0)</f>
        <v>-100</v>
      </c>
    </row>
    <row r="102" spans="2:14" x14ac:dyDescent="0.3">
      <c r="B102" t="s">
        <v>269</v>
      </c>
      <c r="C102" s="105">
        <f>IFERROR('Caseflow Statement '!E36,0)</f>
        <v>0</v>
      </c>
      <c r="D102" s="105">
        <f>IFERROR('Caseflow Statement '!F36,0)</f>
        <v>0</v>
      </c>
      <c r="E102" s="105">
        <f>IFERROR('Caseflow Statement '!G36,0)</f>
        <v>0</v>
      </c>
      <c r="F102" s="105">
        <f>IFERROR('Caseflow Statement '!H36,0)</f>
        <v>0</v>
      </c>
      <c r="G102" s="105">
        <f>IFERROR('Caseflow Statement '!I36,0)</f>
        <v>0</v>
      </c>
      <c r="H102" s="105">
        <f>IFERROR('Caseflow Statement '!J36,0)</f>
        <v>0</v>
      </c>
      <c r="I102" s="105">
        <f>IFERROR('Caseflow Statement '!K36,0)</f>
        <v>0</v>
      </c>
      <c r="J102" s="105">
        <f>IFERROR('Caseflow Statement '!L36,0)</f>
        <v>-1346</v>
      </c>
      <c r="K102" s="105">
        <f>IFERROR('Caseflow Statement '!M36,0)</f>
        <v>-1477</v>
      </c>
      <c r="L102" s="105">
        <f>IFERROR('Caseflow Statement '!N36,0)</f>
        <v>-1559</v>
      </c>
    </row>
    <row r="103" spans="2:14" x14ac:dyDescent="0.3">
      <c r="B103" t="s">
        <v>270</v>
      </c>
      <c r="C103" s="105">
        <f>IFERROR('Caseflow Statement '!E37,0)</f>
        <v>-2849</v>
      </c>
      <c r="D103" s="105">
        <f>IFERROR('Caseflow Statement '!F37,0)</f>
        <v>-450</v>
      </c>
      <c r="E103" s="105">
        <f>IFERROR('Caseflow Statement '!G37,0)</f>
        <v>-57</v>
      </c>
      <c r="F103" s="105">
        <f>IFERROR('Caseflow Statement '!H37,0)</f>
        <v>0</v>
      </c>
      <c r="G103" s="105">
        <f>IFERROR('Caseflow Statement '!I37,0)</f>
        <v>0</v>
      </c>
      <c r="H103" s="105">
        <f>IFERROR('Caseflow Statement '!J37,0)</f>
        <v>0</v>
      </c>
      <c r="I103" s="105">
        <f>IFERROR('Caseflow Statement '!K37,0)</f>
        <v>0</v>
      </c>
      <c r="J103" s="105">
        <f>IFERROR('Caseflow Statement '!L37,0)</f>
        <v>-29</v>
      </c>
      <c r="K103" s="105">
        <f>IFERROR('Caseflow Statement '!M37,0)</f>
        <v>0</v>
      </c>
      <c r="L103" s="105">
        <f>IFERROR('Caseflow Statement '!N37,0)</f>
        <v>3750</v>
      </c>
    </row>
    <row r="104" spans="2:14" x14ac:dyDescent="0.3">
      <c r="B104" s="111" t="s">
        <v>271</v>
      </c>
      <c r="C104" s="104">
        <f t="shared" ref="C104:L104" si="24">SUM(C95:C103)</f>
        <v>-1694</v>
      </c>
      <c r="D104" s="104">
        <f t="shared" si="24"/>
        <v>-3884</v>
      </c>
      <c r="E104" s="104">
        <f t="shared" si="24"/>
        <v>5203</v>
      </c>
      <c r="F104" s="104">
        <f t="shared" si="24"/>
        <v>-3796</v>
      </c>
      <c r="G104" s="104">
        <f t="shared" si="24"/>
        <v>6206</v>
      </c>
      <c r="H104" s="104">
        <f t="shared" si="24"/>
        <v>2011</v>
      </c>
      <c r="I104" s="104">
        <f t="shared" si="24"/>
        <v>8830</v>
      </c>
      <c r="J104" s="104">
        <f t="shared" si="24"/>
        <v>3389</v>
      </c>
      <c r="K104" s="104">
        <f t="shared" si="24"/>
        <v>9905</v>
      </c>
      <c r="L104" s="104">
        <f t="shared" si="24"/>
        <v>-3379</v>
      </c>
    </row>
    <row r="106" spans="2:14" x14ac:dyDescent="0.3">
      <c r="B106" s="22" t="s">
        <v>272</v>
      </c>
      <c r="C106" s="104">
        <f t="shared" ref="C106:L106" si="25">IFERROR(C104+C92+C77,0)</f>
        <v>-26907</v>
      </c>
      <c r="D106" s="104">
        <f t="shared" si="25"/>
        <v>-32027</v>
      </c>
      <c r="E106" s="104">
        <f t="shared" si="25"/>
        <v>4502</v>
      </c>
      <c r="F106" s="104">
        <f t="shared" si="25"/>
        <v>-2591</v>
      </c>
      <c r="G106" s="104">
        <f t="shared" si="25"/>
        <v>-3166</v>
      </c>
      <c r="H106" s="104">
        <f t="shared" si="25"/>
        <v>728</v>
      </c>
      <c r="I106" s="104">
        <f t="shared" si="25"/>
        <v>6843</v>
      </c>
      <c r="J106" s="104">
        <f t="shared" si="25"/>
        <v>-3094</v>
      </c>
      <c r="K106" s="104">
        <f t="shared" si="25"/>
        <v>13234</v>
      </c>
      <c r="L106" s="104">
        <f t="shared" si="25"/>
        <v>6461</v>
      </c>
    </row>
    <row r="107" spans="2:14" x14ac:dyDescent="0.3">
      <c r="B107" s="111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4" x14ac:dyDescent="0.3">
      <c r="B108" s="143" t="s">
        <v>273</v>
      </c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</row>
    <row r="109" spans="2:14" x14ac:dyDescent="0.3"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</row>
    <row r="110" spans="2:14" x14ac:dyDescent="0.3">
      <c r="B110" s="22" t="s">
        <v>274</v>
      </c>
      <c r="C110" s="104">
        <f>IFERROR('Caseflow Statement '!C48,0)</f>
        <v>22162.61</v>
      </c>
      <c r="D110" s="104">
        <f>IFERROR('Caseflow Statement '!D48,0)</f>
        <v>36151.160000000003</v>
      </c>
      <c r="E110" s="104">
        <f>IFERROR('Caseflow Statement '!E48,0)</f>
        <v>35531.26</v>
      </c>
      <c r="F110" s="104">
        <f>IFERROR('Caseflow Statement '!F48,0)</f>
        <v>37899.54</v>
      </c>
      <c r="G110" s="104">
        <f>IFERROR('Caseflow Statement '!G48,0)</f>
        <v>30199.25</v>
      </c>
      <c r="H110" s="104">
        <f>IFERROR('Caseflow Statement '!H48,0)</f>
        <v>23857.42</v>
      </c>
      <c r="I110" s="104">
        <f>IFERROR('Caseflow Statement '!I48,0)</f>
        <v>18890.75</v>
      </c>
      <c r="J110" s="104">
        <f>IFERROR('Caseflow Statement '!J48,0)</f>
        <v>26632.94</v>
      </c>
      <c r="K110" s="104">
        <f>IFERROR('Caseflow Statement '!K48,0)</f>
        <v>29000.51</v>
      </c>
      <c r="L110" s="104">
        <f>IFERROR('Caseflow Statement '!L48,0)</f>
        <v>14282.83</v>
      </c>
    </row>
    <row r="111" spans="2:14" x14ac:dyDescent="0.3">
      <c r="B111" s="22" t="s">
        <v>275</v>
      </c>
      <c r="C111" s="104">
        <f>IFERROR('Caseflow Statement '!C49,0)</f>
        <v>-22969.45</v>
      </c>
      <c r="D111" s="104">
        <f>IFERROR('Caseflow Statement '!D49,0)</f>
        <v>-27990.91</v>
      </c>
      <c r="E111" s="104">
        <f>IFERROR('Caseflow Statement '!E49,0)</f>
        <v>-36232.35</v>
      </c>
      <c r="F111" s="104">
        <f>IFERROR('Caseflow Statement '!F49,0)</f>
        <v>-36693.9</v>
      </c>
      <c r="G111" s="104">
        <f>IFERROR('Caseflow Statement '!G49,0)</f>
        <v>-39571.4</v>
      </c>
      <c r="H111" s="104">
        <f>IFERROR('Caseflow Statement '!H49,0)</f>
        <v>-25139.14</v>
      </c>
      <c r="I111" s="104">
        <f>IFERROR('Caseflow Statement '!I49,0)</f>
        <v>-20878.07</v>
      </c>
      <c r="J111" s="104">
        <f>IFERROR('Caseflow Statement '!J49,0)</f>
        <v>-33114.550000000003</v>
      </c>
      <c r="K111" s="104">
        <f>IFERROR('Caseflow Statement '!K49,0)</f>
        <v>-25672.5</v>
      </c>
      <c r="L111" s="104">
        <f>IFERROR('Caseflow Statement '!L49,0)</f>
        <v>-4443.66</v>
      </c>
    </row>
    <row r="112" spans="2:14" x14ac:dyDescent="0.3">
      <c r="B112" s="22" t="s">
        <v>276</v>
      </c>
      <c r="C112" s="104">
        <f>IFERROR('Caseflow Statement '!C50,0)</f>
        <v>-1692.08</v>
      </c>
      <c r="D112" s="104">
        <f>IFERROR('Caseflow Statement '!D50,0)</f>
        <v>-3883.24</v>
      </c>
      <c r="E112" s="104">
        <f>IFERROR('Caseflow Statement '!E50,0)</f>
        <v>5201.4399999999996</v>
      </c>
      <c r="F112" s="104">
        <f>IFERROR('Caseflow Statement '!F50,0)</f>
        <v>-3795.12</v>
      </c>
      <c r="G112" s="104">
        <f>IFERROR('Caseflow Statement '!G50,0)</f>
        <v>6205.3</v>
      </c>
      <c r="H112" s="104">
        <f>IFERROR('Caseflow Statement '!H50,0)</f>
        <v>2011.71</v>
      </c>
      <c r="I112" s="104">
        <f>IFERROR('Caseflow Statement '!I50,0)</f>
        <v>8830.3700000000008</v>
      </c>
      <c r="J112" s="104">
        <f>IFERROR('Caseflow Statement '!J50,0)</f>
        <v>3389.61</v>
      </c>
      <c r="K112" s="104">
        <f>IFERROR('Caseflow Statement '!K50,0)</f>
        <v>9904.2000000000007</v>
      </c>
      <c r="L112" s="104">
        <f>IFERROR('Caseflow Statement '!L50,0)</f>
        <v>-3380.17</v>
      </c>
    </row>
    <row r="113" spans="2:12" x14ac:dyDescent="0.3">
      <c r="B113" s="22" t="s">
        <v>200</v>
      </c>
      <c r="C113" s="104">
        <f>SUM(C110:C112)</f>
        <v>-2498.92</v>
      </c>
      <c r="D113" s="104">
        <f>SUM(D110:D112)</f>
        <v>4277.0100000000039</v>
      </c>
      <c r="E113" s="104">
        <f>SUM(E110:E112)</f>
        <v>4500.3500000000031</v>
      </c>
      <c r="F113" s="104">
        <f t="shared" ref="F113:K113" si="26">SUM(F110:F112)</f>
        <v>-2589.4800000000005</v>
      </c>
      <c r="G113" s="104">
        <f t="shared" si="26"/>
        <v>-3166.8500000000013</v>
      </c>
      <c r="H113" s="104">
        <f t="shared" si="26"/>
        <v>729.98999999999887</v>
      </c>
      <c r="I113" s="104">
        <f t="shared" si="26"/>
        <v>6843.0500000000011</v>
      </c>
      <c r="J113" s="104">
        <f t="shared" si="26"/>
        <v>-3092.0000000000041</v>
      </c>
      <c r="K113" s="104">
        <f t="shared" si="26"/>
        <v>13232.21</v>
      </c>
      <c r="L113" s="104">
        <f>SUM(E113:K113)</f>
        <v>16457.269999999997</v>
      </c>
    </row>
  </sheetData>
  <mergeCells count="2">
    <mergeCell ref="B2:M2"/>
    <mergeCell ref="B108:N10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5CFF-CD9D-45F6-9C33-95D37F0DCE8B}">
  <sheetPr>
    <tabColor theme="4" tint="-0.49998474074526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3585-D10A-43D5-AFBA-E43C2DF34C70}">
  <sheetPr>
    <tabColor theme="4" tint="-0.249977111117893"/>
  </sheetPr>
  <dimension ref="A1:K93"/>
  <sheetViews>
    <sheetView topLeftCell="A73" workbookViewId="0">
      <selection activeCell="A57" sqref="A57"/>
    </sheetView>
  </sheetViews>
  <sheetFormatPr defaultRowHeight="14.4" x14ac:dyDescent="0.3"/>
  <cols>
    <col min="1" max="1" width="26.88671875" bestFit="1" customWidth="1"/>
    <col min="2" max="2" width="17.5546875" bestFit="1" customWidth="1"/>
    <col min="3" max="6" width="12" bestFit="1" customWidth="1"/>
    <col min="7" max="7" width="11" bestFit="1" customWidth="1"/>
    <col min="8" max="8" width="12" bestFit="1" customWidth="1"/>
    <col min="9" max="10" width="12.6640625" bestFit="1" customWidth="1"/>
    <col min="11" max="11" width="11.6640625" bestFit="1" customWidth="1"/>
  </cols>
  <sheetData>
    <row r="1" spans="1:11" x14ac:dyDescent="0.3">
      <c r="A1" t="s">
        <v>152</v>
      </c>
      <c r="B1" t="s">
        <v>153</v>
      </c>
      <c r="E1" t="s">
        <v>154</v>
      </c>
    </row>
    <row r="2" spans="1:11" x14ac:dyDescent="0.3">
      <c r="A2" t="s">
        <v>155</v>
      </c>
      <c r="B2">
        <v>2.1</v>
      </c>
    </row>
    <row r="3" spans="1:11" x14ac:dyDescent="0.3">
      <c r="A3" t="s">
        <v>156</v>
      </c>
      <c r="B3">
        <v>2.1</v>
      </c>
    </row>
    <row r="5" spans="1:11" x14ac:dyDescent="0.3">
      <c r="A5" t="s">
        <v>157</v>
      </c>
    </row>
    <row r="6" spans="1:11" x14ac:dyDescent="0.3">
      <c r="A6" t="s">
        <v>158</v>
      </c>
      <c r="B6">
        <v>358.58908869987852</v>
      </c>
    </row>
    <row r="7" spans="1:11" x14ac:dyDescent="0.3">
      <c r="A7" t="s">
        <v>159</v>
      </c>
      <c r="B7">
        <v>5</v>
      </c>
    </row>
    <row r="8" spans="1:11" x14ac:dyDescent="0.3">
      <c r="A8" t="s">
        <v>160</v>
      </c>
      <c r="B8">
        <v>1710.05</v>
      </c>
    </row>
    <row r="9" spans="1:11" x14ac:dyDescent="0.3">
      <c r="A9" t="s">
        <v>30</v>
      </c>
      <c r="B9">
        <v>212452.59</v>
      </c>
    </row>
    <row r="15" spans="1:11" x14ac:dyDescent="0.3">
      <c r="A15" t="s">
        <v>161</v>
      </c>
      <c r="B15">
        <v>32432.079999999998</v>
      </c>
      <c r="K15">
        <v>29129.190000000006</v>
      </c>
    </row>
    <row r="16" spans="1:11" x14ac:dyDescent="0.3">
      <c r="A16" s="87" t="s">
        <v>162</v>
      </c>
      <c r="B16" s="88">
        <v>41729</v>
      </c>
      <c r="C16" s="88">
        <v>42094</v>
      </c>
      <c r="D16" s="88">
        <v>42460</v>
      </c>
      <c r="E16" s="88">
        <v>42825</v>
      </c>
      <c r="F16" s="88">
        <v>43190</v>
      </c>
      <c r="G16" s="88">
        <v>43555</v>
      </c>
      <c r="H16" s="88">
        <v>43921</v>
      </c>
      <c r="I16" s="88">
        <v>44286</v>
      </c>
      <c r="J16" s="88">
        <v>44651</v>
      </c>
      <c r="K16" s="88">
        <v>45016</v>
      </c>
    </row>
    <row r="17" spans="1:11" x14ac:dyDescent="0.3">
      <c r="A17" t="s">
        <v>163</v>
      </c>
      <c r="B17">
        <v>74000.929999999993</v>
      </c>
      <c r="C17">
        <v>71448</v>
      </c>
      <c r="D17">
        <v>75841.42</v>
      </c>
      <c r="E17">
        <v>83773.05</v>
      </c>
      <c r="F17">
        <v>92093.95</v>
      </c>
      <c r="G17">
        <v>104720.68</v>
      </c>
      <c r="H17">
        <v>75381.929999999993</v>
      </c>
      <c r="I17">
        <v>74277.78</v>
      </c>
      <c r="J17">
        <v>90170.57</v>
      </c>
      <c r="K17">
        <v>121268.55</v>
      </c>
    </row>
    <row r="18" spans="1:11" x14ac:dyDescent="0.3">
      <c r="A18" t="s">
        <v>164</v>
      </c>
      <c r="B18">
        <v>45131.56</v>
      </c>
      <c r="C18">
        <v>42575.56</v>
      </c>
      <c r="D18">
        <v>45584.35</v>
      </c>
      <c r="E18">
        <v>50655.199999999997</v>
      </c>
      <c r="F18">
        <v>53457.29</v>
      </c>
      <c r="G18">
        <v>61881.19</v>
      </c>
      <c r="H18">
        <v>37595.300000000003</v>
      </c>
      <c r="I18">
        <v>38271.199999999997</v>
      </c>
      <c r="J18">
        <v>52664.85</v>
      </c>
      <c r="K18">
        <v>76019.87</v>
      </c>
    </row>
    <row r="19" spans="1:11" x14ac:dyDescent="0.3">
      <c r="A19" t="s">
        <v>165</v>
      </c>
      <c r="B19">
        <v>238.97</v>
      </c>
      <c r="C19">
        <v>-274.13</v>
      </c>
      <c r="D19">
        <v>458.51</v>
      </c>
      <c r="E19">
        <v>13.83</v>
      </c>
      <c r="F19">
        <v>-83.33</v>
      </c>
      <c r="G19">
        <v>1730.48</v>
      </c>
      <c r="H19">
        <v>-826.62</v>
      </c>
      <c r="I19">
        <v>-135.59</v>
      </c>
      <c r="J19">
        <v>861.66</v>
      </c>
      <c r="K19">
        <v>2032.31</v>
      </c>
    </row>
    <row r="20" spans="1:11" x14ac:dyDescent="0.3">
      <c r="A20" t="s">
        <v>166</v>
      </c>
      <c r="B20">
        <v>923.38</v>
      </c>
      <c r="C20">
        <v>786.96</v>
      </c>
      <c r="D20">
        <v>639.97</v>
      </c>
      <c r="E20">
        <v>657.06</v>
      </c>
      <c r="F20">
        <v>733.9</v>
      </c>
      <c r="G20">
        <v>817.11</v>
      </c>
      <c r="H20">
        <v>530.91999999999996</v>
      </c>
      <c r="I20">
        <v>429.56</v>
      </c>
      <c r="J20">
        <v>541.27</v>
      </c>
      <c r="K20">
        <v>830.48</v>
      </c>
    </row>
    <row r="21" spans="1:11" x14ac:dyDescent="0.3">
      <c r="A21" t="s">
        <v>167</v>
      </c>
      <c r="B21">
        <v>2586.08</v>
      </c>
      <c r="C21">
        <v>2553.39</v>
      </c>
      <c r="D21">
        <v>2618.6999999999998</v>
      </c>
      <c r="E21">
        <v>3255.3</v>
      </c>
      <c r="F21">
        <v>3590.26</v>
      </c>
      <c r="G21">
        <v>4253</v>
      </c>
      <c r="H21">
        <v>3277.79</v>
      </c>
      <c r="I21">
        <v>2523.4</v>
      </c>
      <c r="J21">
        <v>3124.27</v>
      </c>
      <c r="K21">
        <v>3838.42</v>
      </c>
    </row>
    <row r="22" spans="1:11" x14ac:dyDescent="0.3">
      <c r="A22" t="s">
        <v>168</v>
      </c>
      <c r="B22">
        <v>6885.94</v>
      </c>
      <c r="C22">
        <v>7202.49</v>
      </c>
      <c r="D22">
        <v>7689.4</v>
      </c>
      <c r="E22">
        <v>8910.6299999999992</v>
      </c>
      <c r="F22">
        <v>10004.620000000001</v>
      </c>
      <c r="G22">
        <v>11242.08</v>
      </c>
      <c r="H22">
        <v>8214.82</v>
      </c>
      <c r="I22">
        <v>7813.26</v>
      </c>
      <c r="J22">
        <v>8386.74</v>
      </c>
      <c r="K22">
        <v>9677.9500000000007</v>
      </c>
    </row>
    <row r="23" spans="1:11" x14ac:dyDescent="0.3">
      <c r="A23" t="s">
        <v>169</v>
      </c>
      <c r="B23">
        <v>6000.42</v>
      </c>
      <c r="C23">
        <v>5990.62</v>
      </c>
      <c r="D23">
        <v>5758.86</v>
      </c>
      <c r="E23">
        <v>6253.64</v>
      </c>
      <c r="F23">
        <v>7591.15</v>
      </c>
      <c r="G23">
        <v>9658.98</v>
      </c>
      <c r="H23">
        <v>6316.52</v>
      </c>
      <c r="I23">
        <v>4628.75</v>
      </c>
      <c r="J23">
        <v>5977.67</v>
      </c>
      <c r="K23">
        <v>7681.87</v>
      </c>
    </row>
    <row r="24" spans="1:11" x14ac:dyDescent="0.3">
      <c r="A24" t="s">
        <v>170</v>
      </c>
      <c r="B24">
        <v>2542.0300000000002</v>
      </c>
      <c r="C24">
        <v>3271.56</v>
      </c>
      <c r="D24">
        <v>3926.21</v>
      </c>
      <c r="E24">
        <v>3320.22</v>
      </c>
      <c r="F24">
        <v>3407.3</v>
      </c>
      <c r="G24">
        <v>3392.29</v>
      </c>
      <c r="H24">
        <v>8462.2099999999991</v>
      </c>
      <c r="I24">
        <v>8989</v>
      </c>
      <c r="J24">
        <v>5654.58</v>
      </c>
      <c r="K24">
        <v>4966.9799999999996</v>
      </c>
    </row>
    <row r="25" spans="1:11" x14ac:dyDescent="0.3">
      <c r="A25" t="s">
        <v>171</v>
      </c>
      <c r="B25">
        <v>772.61</v>
      </c>
      <c r="C25">
        <v>799.93</v>
      </c>
      <c r="D25">
        <v>1398.83</v>
      </c>
      <c r="E25">
        <v>2076.61</v>
      </c>
      <c r="F25">
        <v>4366.41</v>
      </c>
      <c r="G25">
        <v>2676.45</v>
      </c>
      <c r="H25">
        <v>884.69</v>
      </c>
      <c r="I25">
        <v>1151.51</v>
      </c>
      <c r="J25">
        <v>3204.47</v>
      </c>
      <c r="K25">
        <v>3961.45</v>
      </c>
    </row>
    <row r="26" spans="1:11" x14ac:dyDescent="0.3">
      <c r="A26" t="s">
        <v>172</v>
      </c>
      <c r="B26">
        <v>2169.5700000000002</v>
      </c>
      <c r="C26">
        <v>2123.83</v>
      </c>
      <c r="D26">
        <v>2441.65</v>
      </c>
      <c r="E26">
        <v>2812.72</v>
      </c>
      <c r="F26">
        <v>3279.9</v>
      </c>
      <c r="G26">
        <v>3990.77</v>
      </c>
      <c r="H26">
        <v>3366.68</v>
      </c>
      <c r="I26">
        <v>3378.11</v>
      </c>
      <c r="J26">
        <v>3507.5</v>
      </c>
      <c r="K26">
        <v>4356.8100000000004</v>
      </c>
    </row>
    <row r="27" spans="1:11" x14ac:dyDescent="0.3">
      <c r="A27" t="s">
        <v>173</v>
      </c>
      <c r="B27">
        <v>2953.93</v>
      </c>
      <c r="C27">
        <v>3156.69</v>
      </c>
      <c r="D27">
        <v>3367.59</v>
      </c>
      <c r="E27">
        <v>3648.46</v>
      </c>
      <c r="F27">
        <v>3987.09</v>
      </c>
      <c r="G27">
        <v>5021.3500000000004</v>
      </c>
      <c r="H27">
        <v>6021.15</v>
      </c>
      <c r="I27">
        <v>6102.22</v>
      </c>
      <c r="J27">
        <v>5018.05</v>
      </c>
      <c r="K27">
        <v>5829.7</v>
      </c>
    </row>
    <row r="28" spans="1:11" x14ac:dyDescent="0.3">
      <c r="A28" t="s">
        <v>174</v>
      </c>
      <c r="B28">
        <v>5819.6</v>
      </c>
      <c r="C28">
        <v>4312.7</v>
      </c>
      <c r="D28">
        <v>5672.03</v>
      </c>
      <c r="E28">
        <v>6350.26</v>
      </c>
      <c r="F28">
        <v>10325.52</v>
      </c>
      <c r="G28">
        <v>8870.84</v>
      </c>
      <c r="H28">
        <v>1654.61</v>
      </c>
      <c r="I28">
        <v>3158.2</v>
      </c>
      <c r="J28">
        <v>9361.77</v>
      </c>
      <c r="K28">
        <v>14060.23</v>
      </c>
    </row>
    <row r="29" spans="1:11" x14ac:dyDescent="0.3">
      <c r="A29" t="s">
        <v>175</v>
      </c>
      <c r="B29">
        <v>1496.22</v>
      </c>
      <c r="C29">
        <v>1720.02</v>
      </c>
      <c r="D29">
        <v>2117.5300000000002</v>
      </c>
      <c r="E29">
        <v>2299.73</v>
      </c>
      <c r="F29">
        <v>2367.73</v>
      </c>
      <c r="G29">
        <v>2853.99</v>
      </c>
      <c r="H29">
        <v>1975.61</v>
      </c>
      <c r="I29">
        <v>1645.81</v>
      </c>
      <c r="J29">
        <v>2108.7600000000002</v>
      </c>
      <c r="K29">
        <v>2685.75</v>
      </c>
    </row>
    <row r="30" spans="1:11" x14ac:dyDescent="0.3">
      <c r="A30" t="s">
        <v>176</v>
      </c>
      <c r="B30">
        <v>4666.93</v>
      </c>
      <c r="C30">
        <v>3137.47</v>
      </c>
      <c r="D30">
        <v>3148.43</v>
      </c>
      <c r="E30">
        <v>3698.04</v>
      </c>
      <c r="F30">
        <v>7510.39</v>
      </c>
      <c r="G30">
        <v>5315.46</v>
      </c>
      <c r="H30">
        <v>127.04</v>
      </c>
      <c r="I30">
        <v>1812.49</v>
      </c>
      <c r="J30">
        <v>6577.32</v>
      </c>
      <c r="K30">
        <v>10281.5</v>
      </c>
    </row>
    <row r="31" spans="1:11" x14ac:dyDescent="0.3">
      <c r="A31" t="s">
        <v>177</v>
      </c>
      <c r="B31">
        <v>826.45</v>
      </c>
      <c r="C31">
        <v>709.68</v>
      </c>
      <c r="D31">
        <v>648.96</v>
      </c>
      <c r="E31">
        <v>807.43</v>
      </c>
      <c r="F31">
        <v>814.7</v>
      </c>
      <c r="G31">
        <v>924.73</v>
      </c>
      <c r="H31">
        <v>260.51</v>
      </c>
      <c r="I31">
        <v>971.51</v>
      </c>
      <c r="J31">
        <v>1284.5</v>
      </c>
      <c r="K31">
        <v>1809.66</v>
      </c>
    </row>
    <row r="32" spans="1:11" x14ac:dyDescent="0.3">
      <c r="A32" t="s">
        <v>178</v>
      </c>
      <c r="B32">
        <v>0.27673251837538915</v>
      </c>
      <c r="C32">
        <v>0.252519877873567</v>
      </c>
      <c r="D32">
        <v>0.3521662882166896</v>
      </c>
      <c r="E32">
        <v>0.21415115777759372</v>
      </c>
      <c r="F32">
        <v>0.34903953819678163</v>
      </c>
      <c r="G32">
        <v>0.38923517014297587</v>
      </c>
      <c r="H32">
        <v>7.7697183558779317E-2</v>
      </c>
      <c r="I32">
        <v>-3.735829368297483E-2</v>
      </c>
      <c r="J32">
        <v>-0.24267634625005249</v>
      </c>
      <c r="K32">
        <v>-0.60417568013296385</v>
      </c>
    </row>
    <row r="34" spans="1:11" x14ac:dyDescent="0.3">
      <c r="A34" t="s">
        <v>179</v>
      </c>
      <c r="B34">
        <v>24830.799999999999</v>
      </c>
      <c r="C34">
        <v>34583.410000000003</v>
      </c>
      <c r="D34">
        <v>39879.32</v>
      </c>
      <c r="E34">
        <v>36204.22</v>
      </c>
      <c r="F34">
        <v>32848.590000000004</v>
      </c>
      <c r="G34">
        <v>39566.22</v>
      </c>
      <c r="H34">
        <v>-1914.4500000000007</v>
      </c>
      <c r="I34">
        <v>16993.16</v>
      </c>
      <c r="J34">
        <v>20734.349999999999</v>
      </c>
      <c r="K34">
        <v>26937.37</v>
      </c>
    </row>
    <row r="40" spans="1:11" x14ac:dyDescent="0.3">
      <c r="A40" s="87" t="s">
        <v>180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</row>
    <row r="41" spans="1:11" x14ac:dyDescent="0.3">
      <c r="A41" t="s">
        <v>162</v>
      </c>
      <c r="B41">
        <v>44377</v>
      </c>
      <c r="C41">
        <v>44469</v>
      </c>
      <c r="D41">
        <v>44561</v>
      </c>
      <c r="E41">
        <v>44651</v>
      </c>
      <c r="F41">
        <v>44742</v>
      </c>
      <c r="G41">
        <v>44834</v>
      </c>
      <c r="H41">
        <v>44926</v>
      </c>
      <c r="I41">
        <v>45016</v>
      </c>
      <c r="J41">
        <v>45107</v>
      </c>
      <c r="K41">
        <v>45199</v>
      </c>
    </row>
    <row r="42" spans="1:11" x14ac:dyDescent="0.3">
      <c r="A42" t="s">
        <v>163</v>
      </c>
      <c r="B42">
        <v>19171.91</v>
      </c>
      <c r="C42">
        <v>21469.8</v>
      </c>
      <c r="D42">
        <v>23594.46</v>
      </c>
      <c r="E42">
        <v>25934.400000000001</v>
      </c>
      <c r="F42">
        <v>28414.27</v>
      </c>
      <c r="G42">
        <v>29870.38</v>
      </c>
      <c r="H42">
        <v>30620.19</v>
      </c>
      <c r="I42">
        <v>32455.65</v>
      </c>
      <c r="J42">
        <v>33891.629999999997</v>
      </c>
      <c r="K42">
        <v>34435.519999999997</v>
      </c>
    </row>
    <row r="43" spans="1:11" x14ac:dyDescent="0.3">
      <c r="A43" t="s">
        <v>181</v>
      </c>
      <c r="B43">
        <v>18184.439999999999</v>
      </c>
      <c r="C43">
        <v>16578.3</v>
      </c>
      <c r="D43">
        <v>19068.27</v>
      </c>
      <c r="E43">
        <v>21656.71</v>
      </c>
      <c r="F43">
        <v>24015.65</v>
      </c>
      <c r="G43">
        <v>24802.13</v>
      </c>
      <c r="H43">
        <v>25367.56</v>
      </c>
      <c r="I43">
        <v>26797.919999999998</v>
      </c>
      <c r="J43">
        <v>27642.400000000001</v>
      </c>
      <c r="K43">
        <v>28705.94</v>
      </c>
    </row>
    <row r="44" spans="1:11" x14ac:dyDescent="0.3">
      <c r="A44" t="s">
        <v>171</v>
      </c>
      <c r="B44">
        <v>564.64</v>
      </c>
      <c r="C44">
        <v>689.89</v>
      </c>
      <c r="D44">
        <v>814.76</v>
      </c>
      <c r="E44">
        <v>1135.18</v>
      </c>
      <c r="F44">
        <v>674.7</v>
      </c>
      <c r="G44">
        <v>1348.27</v>
      </c>
      <c r="H44">
        <v>1184.8</v>
      </c>
      <c r="I44">
        <v>661.74</v>
      </c>
      <c r="J44">
        <v>1065</v>
      </c>
      <c r="K44">
        <v>811.95</v>
      </c>
    </row>
    <row r="45" spans="1:11" x14ac:dyDescent="0.3">
      <c r="A45" t="s">
        <v>172</v>
      </c>
      <c r="B45">
        <v>801.67</v>
      </c>
      <c r="C45">
        <v>851.66</v>
      </c>
      <c r="D45">
        <v>919.07</v>
      </c>
      <c r="E45">
        <v>935.1</v>
      </c>
      <c r="F45">
        <v>960.48</v>
      </c>
      <c r="G45">
        <v>1091.77</v>
      </c>
      <c r="H45">
        <v>1110.1600000000001</v>
      </c>
      <c r="I45">
        <v>1194.4000000000001</v>
      </c>
      <c r="J45">
        <v>1127.5</v>
      </c>
      <c r="K45">
        <v>1138.6400000000001</v>
      </c>
    </row>
    <row r="46" spans="1:11" x14ac:dyDescent="0.3">
      <c r="A46" t="s">
        <v>173</v>
      </c>
      <c r="B46">
        <v>1300.1300000000001</v>
      </c>
      <c r="C46">
        <v>1284.6500000000001</v>
      </c>
      <c r="D46">
        <v>1211.1500000000001</v>
      </c>
      <c r="E46">
        <v>1222.1199999999999</v>
      </c>
      <c r="F46">
        <v>1218.8800000000001</v>
      </c>
      <c r="G46">
        <v>1381.7</v>
      </c>
      <c r="H46">
        <v>1595.56</v>
      </c>
      <c r="I46">
        <v>1633.56</v>
      </c>
      <c r="J46">
        <v>1718.84</v>
      </c>
      <c r="K46">
        <v>1835.19</v>
      </c>
    </row>
    <row r="47" spans="1:11" x14ac:dyDescent="0.3">
      <c r="A47" t="s">
        <v>174</v>
      </c>
      <c r="B47">
        <v>-549.69000000000005</v>
      </c>
      <c r="C47">
        <v>3445.08</v>
      </c>
      <c r="D47">
        <v>3210.73</v>
      </c>
      <c r="E47">
        <v>3255.65</v>
      </c>
      <c r="F47">
        <v>2893.96</v>
      </c>
      <c r="G47">
        <v>3943.05</v>
      </c>
      <c r="H47">
        <v>3731.71</v>
      </c>
      <c r="I47">
        <v>3491.51</v>
      </c>
      <c r="J47">
        <v>4467.8900000000003</v>
      </c>
      <c r="K47">
        <v>3567.7</v>
      </c>
    </row>
    <row r="48" spans="1:11" x14ac:dyDescent="0.3">
      <c r="A48" t="s">
        <v>175</v>
      </c>
      <c r="B48">
        <v>-217.95</v>
      </c>
      <c r="C48">
        <v>953.7</v>
      </c>
      <c r="D48">
        <v>725.49</v>
      </c>
      <c r="E48">
        <v>647.52</v>
      </c>
      <c r="F48">
        <v>533.26</v>
      </c>
      <c r="G48">
        <v>921.67</v>
      </c>
      <c r="H48">
        <v>737.68</v>
      </c>
      <c r="I48">
        <v>493.14</v>
      </c>
      <c r="J48">
        <v>784.02</v>
      </c>
      <c r="K48">
        <v>1083.73</v>
      </c>
    </row>
    <row r="49" spans="1:11" x14ac:dyDescent="0.3">
      <c r="A49" t="s">
        <v>176</v>
      </c>
      <c r="B49">
        <v>423.88</v>
      </c>
      <c r="C49">
        <v>1928.64</v>
      </c>
      <c r="D49">
        <v>1987.44</v>
      </c>
      <c r="E49">
        <v>2237.36</v>
      </c>
      <c r="F49">
        <v>2195.54</v>
      </c>
      <c r="G49">
        <v>2772.73</v>
      </c>
      <c r="H49">
        <v>2676.56</v>
      </c>
      <c r="I49">
        <v>2636.67</v>
      </c>
      <c r="J49">
        <v>3508.41</v>
      </c>
      <c r="K49">
        <v>2347.75</v>
      </c>
    </row>
    <row r="50" spans="1:11" x14ac:dyDescent="0.3">
      <c r="A50" t="s">
        <v>182</v>
      </c>
      <c r="B50">
        <v>987.47</v>
      </c>
      <c r="C50">
        <v>4891.5</v>
      </c>
      <c r="D50">
        <v>4526.1899999999996</v>
      </c>
      <c r="E50">
        <v>4277.6899999999996</v>
      </c>
      <c r="F50">
        <v>4398.62</v>
      </c>
      <c r="G50">
        <v>5068.25</v>
      </c>
      <c r="H50">
        <v>5252.63</v>
      </c>
      <c r="I50">
        <v>5657.73</v>
      </c>
      <c r="J50">
        <v>6249.23</v>
      </c>
      <c r="K50">
        <v>5729.58</v>
      </c>
    </row>
    <row r="51" spans="1:11" x14ac:dyDescent="0.3">
      <c r="A51" t="s">
        <v>179</v>
      </c>
      <c r="B51">
        <v>1238.6799999999994</v>
      </c>
      <c r="C51">
        <v>6765.2300000000005</v>
      </c>
      <c r="D51">
        <v>12106.31</v>
      </c>
      <c r="E51">
        <v>624.13000000000011</v>
      </c>
      <c r="F51">
        <v>5696.47</v>
      </c>
      <c r="G51">
        <v>5014.1100000000006</v>
      </c>
      <c r="H51">
        <v>7688.78</v>
      </c>
      <c r="I51">
        <v>8538.01</v>
      </c>
      <c r="J51">
        <v>4774.119999999999</v>
      </c>
      <c r="K51">
        <v>6982.91</v>
      </c>
    </row>
    <row r="55" spans="1:11" x14ac:dyDescent="0.3">
      <c r="A55" s="87" t="s">
        <v>183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</row>
    <row r="56" spans="1:11" x14ac:dyDescent="0.3">
      <c r="A56" t="s">
        <v>162</v>
      </c>
      <c r="B56" s="89">
        <v>41729</v>
      </c>
      <c r="C56" s="89">
        <v>42094</v>
      </c>
      <c r="D56" s="89">
        <v>42460</v>
      </c>
      <c r="E56" s="89">
        <v>42825</v>
      </c>
      <c r="F56" s="89">
        <v>43190</v>
      </c>
      <c r="G56" s="89">
        <v>43555</v>
      </c>
      <c r="H56" s="89">
        <v>43921</v>
      </c>
      <c r="I56" s="89">
        <v>44286</v>
      </c>
      <c r="J56" s="89">
        <v>44651</v>
      </c>
      <c r="K56" s="89">
        <v>45016</v>
      </c>
    </row>
    <row r="57" spans="1:11" x14ac:dyDescent="0.3">
      <c r="A57" t="s">
        <v>184</v>
      </c>
      <c r="B57">
        <v>295.16000000000003</v>
      </c>
      <c r="C57">
        <v>295.7</v>
      </c>
      <c r="D57">
        <v>270.39999999999998</v>
      </c>
      <c r="E57">
        <v>310.55</v>
      </c>
      <c r="F57">
        <v>543.13</v>
      </c>
      <c r="G57">
        <v>543.96</v>
      </c>
      <c r="H57">
        <v>554.28</v>
      </c>
      <c r="I57">
        <v>555.15</v>
      </c>
      <c r="J57">
        <v>556.05999999999995</v>
      </c>
      <c r="K57">
        <v>556.82000000000005</v>
      </c>
    </row>
    <row r="58" spans="1:11" x14ac:dyDescent="0.3">
      <c r="A58" t="s">
        <v>106</v>
      </c>
      <c r="B58">
        <v>23011.7</v>
      </c>
      <c r="C58">
        <v>25560.68</v>
      </c>
      <c r="D58">
        <v>26222.25</v>
      </c>
      <c r="E58">
        <v>29467.1</v>
      </c>
      <c r="F58">
        <v>36232.06</v>
      </c>
      <c r="G58">
        <v>39439.449999999997</v>
      </c>
      <c r="H58">
        <v>39415.03</v>
      </c>
      <c r="I58">
        <v>41026.769999999997</v>
      </c>
      <c r="J58">
        <v>46566.58</v>
      </c>
      <c r="K58">
        <v>55808.97</v>
      </c>
    </row>
    <row r="59" spans="1:11" x14ac:dyDescent="0.3">
      <c r="A59" t="s">
        <v>185</v>
      </c>
      <c r="B59">
        <v>35166.79</v>
      </c>
      <c r="C59">
        <v>37911.46</v>
      </c>
      <c r="D59">
        <v>41552.93</v>
      </c>
      <c r="E59">
        <v>48761.91</v>
      </c>
      <c r="F59">
        <v>55897.919999999998</v>
      </c>
      <c r="G59">
        <v>70848.3</v>
      </c>
      <c r="H59">
        <v>82092.28</v>
      </c>
      <c r="I59">
        <v>80624.83</v>
      </c>
      <c r="J59">
        <v>77605.210000000006</v>
      </c>
      <c r="K59">
        <v>92246.85</v>
      </c>
    </row>
    <row r="60" spans="1:11" x14ac:dyDescent="0.3">
      <c r="A60" t="s">
        <v>186</v>
      </c>
      <c r="B60">
        <v>29414.94</v>
      </c>
      <c r="C60">
        <v>30608.37</v>
      </c>
      <c r="D60">
        <v>31806.240000000002</v>
      </c>
      <c r="E60">
        <v>35295.919999999998</v>
      </c>
      <c r="F60">
        <v>43696.2</v>
      </c>
      <c r="G60">
        <v>51056.95</v>
      </c>
      <c r="H60">
        <v>43654.54</v>
      </c>
      <c r="I60">
        <v>42761.58</v>
      </c>
      <c r="J60">
        <v>47660.639999999999</v>
      </c>
      <c r="K60">
        <v>55670.49</v>
      </c>
    </row>
    <row r="61" spans="1:11" x14ac:dyDescent="0.3">
      <c r="A61" t="s">
        <v>65</v>
      </c>
      <c r="B61">
        <v>87888.59</v>
      </c>
      <c r="C61">
        <v>94376.21</v>
      </c>
      <c r="D61">
        <v>99851.82</v>
      </c>
      <c r="E61">
        <v>113835.48</v>
      </c>
      <c r="F61">
        <v>136369.31</v>
      </c>
      <c r="G61">
        <v>161888.66</v>
      </c>
      <c r="H61">
        <v>165716.13</v>
      </c>
      <c r="I61">
        <v>164968.32999999999</v>
      </c>
      <c r="J61">
        <v>172388.49</v>
      </c>
      <c r="K61">
        <v>204283.13</v>
      </c>
    </row>
    <row r="62" spans="1:11" x14ac:dyDescent="0.3">
      <c r="A62" t="s">
        <v>187</v>
      </c>
      <c r="B62">
        <v>18380.96</v>
      </c>
      <c r="C62">
        <v>19046.740000000002</v>
      </c>
      <c r="D62">
        <v>20584.71</v>
      </c>
      <c r="E62">
        <v>20989.01</v>
      </c>
      <c r="F62">
        <v>26181.9</v>
      </c>
      <c r="G62">
        <v>28982.74</v>
      </c>
      <c r="H62">
        <v>29689.27</v>
      </c>
      <c r="I62">
        <v>21379.68</v>
      </c>
      <c r="J62">
        <v>26018.49</v>
      </c>
      <c r="K62">
        <v>27139.98</v>
      </c>
    </row>
    <row r="63" spans="1:11" x14ac:dyDescent="0.3">
      <c r="A63" t="s">
        <v>188</v>
      </c>
      <c r="B63">
        <v>2191.0500000000002</v>
      </c>
      <c r="C63">
        <v>3032.14</v>
      </c>
      <c r="D63">
        <v>2371.35</v>
      </c>
      <c r="E63">
        <v>4278.9399999999996</v>
      </c>
      <c r="F63">
        <v>4269.47</v>
      </c>
      <c r="G63">
        <v>4759.84</v>
      </c>
      <c r="H63">
        <v>6856.48</v>
      </c>
      <c r="I63">
        <v>7872.61</v>
      </c>
      <c r="J63">
        <v>6702.81</v>
      </c>
      <c r="K63">
        <v>3968.58</v>
      </c>
    </row>
    <row r="64" spans="1:11" x14ac:dyDescent="0.3">
      <c r="A64" t="s">
        <v>129</v>
      </c>
      <c r="B64">
        <v>8082.35</v>
      </c>
      <c r="C64">
        <v>10027.14</v>
      </c>
      <c r="D64">
        <v>11602.58</v>
      </c>
      <c r="E64">
        <v>14662.44</v>
      </c>
      <c r="F64">
        <v>16017.61</v>
      </c>
      <c r="G64">
        <v>18268.099999999999</v>
      </c>
      <c r="H64">
        <v>19210.34</v>
      </c>
      <c r="I64">
        <v>28777.66</v>
      </c>
      <c r="J64">
        <v>30060.43</v>
      </c>
      <c r="K64">
        <v>35272.42</v>
      </c>
    </row>
    <row r="65" spans="1:11" x14ac:dyDescent="0.3">
      <c r="A65" t="s">
        <v>189</v>
      </c>
      <c r="B65">
        <v>59234.23</v>
      </c>
      <c r="C65">
        <v>62270.19</v>
      </c>
      <c r="D65">
        <v>65293.18</v>
      </c>
      <c r="E65">
        <v>73905.09</v>
      </c>
      <c r="F65">
        <v>89900.33</v>
      </c>
      <c r="G65">
        <v>109877.98</v>
      </c>
      <c r="H65">
        <v>109960.04</v>
      </c>
      <c r="I65">
        <v>106938.38</v>
      </c>
      <c r="J65">
        <v>109606.76</v>
      </c>
      <c r="K65">
        <v>137902.15</v>
      </c>
    </row>
    <row r="66" spans="1:11" x14ac:dyDescent="0.3">
      <c r="A66" t="s">
        <v>65</v>
      </c>
      <c r="B66">
        <v>87888.59</v>
      </c>
      <c r="C66">
        <v>94376.21</v>
      </c>
      <c r="D66">
        <v>99851.82</v>
      </c>
      <c r="E66">
        <v>113835.48</v>
      </c>
      <c r="F66">
        <v>136369.31</v>
      </c>
      <c r="G66">
        <v>161888.66</v>
      </c>
      <c r="H66">
        <v>165716.13</v>
      </c>
      <c r="I66">
        <v>164968.32999999999</v>
      </c>
      <c r="J66">
        <v>172388.49</v>
      </c>
      <c r="K66">
        <v>204283.13</v>
      </c>
    </row>
    <row r="67" spans="1:11" x14ac:dyDescent="0.3">
      <c r="A67" t="s">
        <v>190</v>
      </c>
      <c r="B67">
        <v>5725.42</v>
      </c>
      <c r="C67">
        <v>5476.16</v>
      </c>
      <c r="D67">
        <v>5817.6</v>
      </c>
      <c r="E67">
        <v>7199.26</v>
      </c>
      <c r="F67">
        <v>8489.82</v>
      </c>
      <c r="G67">
        <v>8677.89</v>
      </c>
      <c r="H67">
        <v>6928.28</v>
      </c>
      <c r="I67">
        <v>6007.76</v>
      </c>
      <c r="J67">
        <v>6373.95</v>
      </c>
      <c r="K67">
        <v>7028.02</v>
      </c>
    </row>
    <row r="68" spans="1:11" x14ac:dyDescent="0.3">
      <c r="A68" t="s">
        <v>191</v>
      </c>
      <c r="B68">
        <v>8353.5400000000009</v>
      </c>
      <c r="C68">
        <v>8453.39</v>
      </c>
      <c r="D68">
        <v>9116.1200000000008</v>
      </c>
      <c r="E68">
        <v>8886.01</v>
      </c>
      <c r="F68">
        <v>9335.57</v>
      </c>
      <c r="G68">
        <v>12200.16</v>
      </c>
      <c r="H68">
        <v>11111.86</v>
      </c>
      <c r="I68">
        <v>9615.41</v>
      </c>
      <c r="J68">
        <v>11595.82</v>
      </c>
      <c r="K68">
        <v>16854.97</v>
      </c>
    </row>
    <row r="69" spans="1:11" x14ac:dyDescent="0.3">
      <c r="A69" t="s">
        <v>192</v>
      </c>
      <c r="B69">
        <v>6522.79</v>
      </c>
      <c r="C69">
        <v>4911.83</v>
      </c>
      <c r="D69">
        <v>4527.55</v>
      </c>
      <c r="E69">
        <v>4654.03</v>
      </c>
      <c r="F69">
        <v>6547.6</v>
      </c>
      <c r="G69">
        <v>8734.91</v>
      </c>
      <c r="H69">
        <v>7910.9</v>
      </c>
      <c r="I69">
        <v>12851.99</v>
      </c>
      <c r="J69">
        <v>11117.61</v>
      </c>
      <c r="K69">
        <v>11273.43</v>
      </c>
    </row>
    <row r="70" spans="1:11" x14ac:dyDescent="0.3">
      <c r="A70" t="s">
        <v>193</v>
      </c>
      <c r="B70">
        <v>615892400</v>
      </c>
      <c r="C70">
        <v>591392278</v>
      </c>
      <c r="D70">
        <v>592633807</v>
      </c>
      <c r="E70">
        <v>621092384</v>
      </c>
      <c r="F70">
        <v>1243192544</v>
      </c>
      <c r="G70">
        <v>1243192544</v>
      </c>
      <c r="H70">
        <v>1243192544</v>
      </c>
      <c r="I70">
        <v>1110297953</v>
      </c>
      <c r="J70">
        <v>1112130815</v>
      </c>
      <c r="K70">
        <v>1198118224</v>
      </c>
    </row>
    <row r="71" spans="1:11" x14ac:dyDescent="0.3">
      <c r="A71" t="s">
        <v>194</v>
      </c>
      <c r="F71">
        <v>621596272</v>
      </c>
    </row>
    <row r="72" spans="1:11" x14ac:dyDescent="0.3">
      <c r="A72" t="s">
        <v>195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</row>
    <row r="73" spans="1:11" x14ac:dyDescent="0.3">
      <c r="H73">
        <v>-4101.2599999999993</v>
      </c>
      <c r="I73">
        <v>22304.78</v>
      </c>
      <c r="J73">
        <v>17441.509999999987</v>
      </c>
      <c r="K73">
        <v>6045.1800000000258</v>
      </c>
    </row>
    <row r="80" spans="1:11" x14ac:dyDescent="0.3">
      <c r="A80" s="87" t="s">
        <v>196</v>
      </c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x14ac:dyDescent="0.3">
      <c r="A81" t="s">
        <v>162</v>
      </c>
      <c r="B81">
        <v>41729</v>
      </c>
      <c r="C81">
        <v>42094</v>
      </c>
      <c r="D81">
        <v>42460</v>
      </c>
      <c r="E81">
        <v>42825</v>
      </c>
      <c r="F81">
        <v>43190</v>
      </c>
      <c r="G81">
        <v>43555</v>
      </c>
      <c r="H81">
        <v>43921</v>
      </c>
      <c r="I81">
        <v>44286</v>
      </c>
      <c r="J81">
        <v>44651</v>
      </c>
      <c r="K81">
        <v>45016</v>
      </c>
    </row>
    <row r="82" spans="1:11" x14ac:dyDescent="0.3">
      <c r="A82" t="s">
        <v>197</v>
      </c>
      <c r="B82">
        <v>-243.74</v>
      </c>
      <c r="C82">
        <v>1054.8599999999999</v>
      </c>
      <c r="D82">
        <v>2384.7600000000002</v>
      </c>
      <c r="E82">
        <v>183.09</v>
      </c>
      <c r="F82">
        <v>681.86</v>
      </c>
      <c r="G82">
        <v>-4347.29</v>
      </c>
      <c r="H82">
        <v>-1456.93</v>
      </c>
      <c r="I82">
        <v>17908.830000000002</v>
      </c>
      <c r="J82">
        <v>9247.5499999999993</v>
      </c>
      <c r="K82">
        <v>-7074.02</v>
      </c>
    </row>
    <row r="83" spans="1:11" x14ac:dyDescent="0.3">
      <c r="A83" t="s">
        <v>198</v>
      </c>
      <c r="B83">
        <v>-4523.6000000000004</v>
      </c>
      <c r="C83">
        <v>-4357.45</v>
      </c>
      <c r="D83">
        <v>-5505.97</v>
      </c>
      <c r="E83">
        <v>-5875.29</v>
      </c>
      <c r="F83">
        <v>-5467.22</v>
      </c>
      <c r="G83">
        <v>-7173.97</v>
      </c>
      <c r="H83">
        <v>-6869.79</v>
      </c>
      <c r="I83">
        <v>-19685.5</v>
      </c>
      <c r="J83">
        <v>-3251.95</v>
      </c>
      <c r="K83">
        <v>-8866.27</v>
      </c>
    </row>
    <row r="84" spans="1:11" x14ac:dyDescent="0.3">
      <c r="A84" t="s">
        <v>199</v>
      </c>
      <c r="B84">
        <v>5577.38</v>
      </c>
      <c r="C84">
        <v>1669.38</v>
      </c>
      <c r="D84">
        <v>2966.81</v>
      </c>
      <c r="E84">
        <v>6107.97</v>
      </c>
      <c r="F84">
        <v>6314.5</v>
      </c>
      <c r="G84">
        <v>13193.63</v>
      </c>
      <c r="H84">
        <v>6932.75</v>
      </c>
      <c r="I84">
        <v>406.23</v>
      </c>
      <c r="J84">
        <v>-5882.6</v>
      </c>
      <c r="K84">
        <v>15946.11</v>
      </c>
    </row>
    <row r="85" spans="1:11" x14ac:dyDescent="0.3">
      <c r="A85" t="s">
        <v>200</v>
      </c>
      <c r="B85">
        <v>810.04</v>
      </c>
      <c r="C85">
        <v>-1633.21</v>
      </c>
      <c r="D85">
        <v>-154.4</v>
      </c>
      <c r="E85">
        <v>415.77</v>
      </c>
      <c r="F85">
        <v>1529.14</v>
      </c>
      <c r="G85">
        <v>1672.37</v>
      </c>
      <c r="H85">
        <v>-1393.97</v>
      </c>
      <c r="I85">
        <v>-1370.44</v>
      </c>
      <c r="J85">
        <v>113</v>
      </c>
      <c r="K85">
        <v>5.82</v>
      </c>
    </row>
    <row r="90" spans="1:11" x14ac:dyDescent="0.3">
      <c r="A90" t="s">
        <v>201</v>
      </c>
      <c r="B90">
        <v>490.35</v>
      </c>
      <c r="C90">
        <v>593.9</v>
      </c>
      <c r="D90">
        <v>605.35</v>
      </c>
      <c r="E90">
        <v>643.45000000000005</v>
      </c>
      <c r="F90">
        <v>738.9</v>
      </c>
      <c r="G90">
        <v>673.9</v>
      </c>
      <c r="H90">
        <v>284.95</v>
      </c>
      <c r="I90">
        <v>795.25</v>
      </c>
      <c r="J90">
        <v>806.55</v>
      </c>
      <c r="K90">
        <v>1158.7</v>
      </c>
    </row>
    <row r="92" spans="1:11" x14ac:dyDescent="0.3">
      <c r="A92" t="s">
        <v>202</v>
      </c>
    </row>
    <row r="93" spans="1:11" x14ac:dyDescent="0.3">
      <c r="A93" t="s">
        <v>203</v>
      </c>
      <c r="B93">
        <v>123.18</v>
      </c>
      <c r="C93">
        <v>124.22</v>
      </c>
      <c r="D93">
        <v>124.22</v>
      </c>
      <c r="E93">
        <v>124.22</v>
      </c>
      <c r="F93">
        <v>124.32</v>
      </c>
      <c r="G93">
        <v>124.32</v>
      </c>
      <c r="H93">
        <v>124.32</v>
      </c>
      <c r="I93">
        <v>124.32</v>
      </c>
      <c r="J93">
        <v>124.32</v>
      </c>
      <c r="K93">
        <v>124.35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DD03-0143-4CEF-8D00-A0179C3C27C5}">
  <dimension ref="B2:U111"/>
  <sheetViews>
    <sheetView showGridLines="0" zoomScaleNormal="100" workbookViewId="0">
      <selection activeCell="J16" sqref="J16"/>
    </sheetView>
  </sheetViews>
  <sheetFormatPr defaultRowHeight="14.4" x14ac:dyDescent="0.3"/>
  <cols>
    <col min="1" max="1" width="1.88671875" customWidth="1"/>
    <col min="2" max="2" width="10.44140625" bestFit="1" customWidth="1"/>
    <col min="3" max="3" width="12.6640625" bestFit="1" customWidth="1"/>
    <col min="4" max="4" width="14.88671875" bestFit="1" customWidth="1"/>
    <col min="6" max="6" width="12.6640625" bestFit="1" customWidth="1"/>
    <col min="7" max="7" width="14.88671875" bestFit="1" customWidth="1"/>
    <col min="8" max="8" width="14.88671875" customWidth="1"/>
    <col min="9" max="9" width="17.88671875" bestFit="1" customWidth="1"/>
    <col min="10" max="10" width="14.88671875" customWidth="1"/>
    <col min="13" max="13" width="18" bestFit="1" customWidth="1"/>
  </cols>
  <sheetData>
    <row r="2" spans="2:14" x14ac:dyDescent="0.3">
      <c r="B2" s="22" t="s">
        <v>85</v>
      </c>
    </row>
    <row r="4" spans="2:14" x14ac:dyDescent="0.3">
      <c r="B4" s="144" t="s">
        <v>50</v>
      </c>
      <c r="C4" s="144"/>
      <c r="D4" s="144"/>
      <c r="E4" s="40"/>
      <c r="F4" s="144" t="s">
        <v>51</v>
      </c>
      <c r="G4" s="144"/>
      <c r="H4" s="44"/>
      <c r="K4" s="40"/>
      <c r="L4" t="s">
        <v>52</v>
      </c>
      <c r="M4" s="10">
        <f>SLOPE(D7:D110,G7:G110)</f>
        <v>1.2432494364445987</v>
      </c>
    </row>
    <row r="5" spans="2:14" x14ac:dyDescent="0.3">
      <c r="B5" s="38" t="s">
        <v>49</v>
      </c>
      <c r="C5" s="38" t="s">
        <v>47</v>
      </c>
      <c r="D5" s="38" t="s">
        <v>48</v>
      </c>
      <c r="F5" s="38" t="s">
        <v>47</v>
      </c>
      <c r="G5" s="38" t="s">
        <v>48</v>
      </c>
      <c r="H5" s="22"/>
      <c r="I5" s="44"/>
      <c r="J5" s="44"/>
      <c r="L5" s="22" t="s">
        <v>53</v>
      </c>
      <c r="M5" s="10">
        <f>_xlfn.COVARIANCE.S(D6:D110,G6:G110)/_xlfn.VAR.S(G6:G110)</f>
        <v>1.2432494364445987</v>
      </c>
    </row>
    <row r="6" spans="2:14" x14ac:dyDescent="0.3">
      <c r="B6" s="39">
        <v>44249</v>
      </c>
      <c r="C6" s="35">
        <v>2994.2</v>
      </c>
      <c r="D6" s="36"/>
      <c r="F6" s="35">
        <v>14529.150390999999</v>
      </c>
      <c r="I6" s="45" t="s">
        <v>80</v>
      </c>
      <c r="J6" s="10">
        <f>M7</f>
        <v>1.2432494364445994</v>
      </c>
    </row>
    <row r="7" spans="2:14" x14ac:dyDescent="0.3">
      <c r="B7" s="39">
        <v>44256</v>
      </c>
      <c r="C7" s="35">
        <v>3286.1</v>
      </c>
      <c r="D7" s="37">
        <f>C7/C6-1</f>
        <v>9.7488477723598921E-2</v>
      </c>
      <c r="F7" s="35">
        <v>14938.099609000001</v>
      </c>
      <c r="G7" s="37">
        <f>F7/F6-1</f>
        <v>2.8146808794361711E-2</v>
      </c>
      <c r="H7" s="37"/>
      <c r="I7" t="s">
        <v>81</v>
      </c>
      <c r="J7" s="11">
        <v>0.75</v>
      </c>
      <c r="L7" s="22" t="s">
        <v>54</v>
      </c>
      <c r="M7" s="10">
        <f>N24</f>
        <v>1.2432494364445994</v>
      </c>
    </row>
    <row r="8" spans="2:14" ht="15" thickBot="1" x14ac:dyDescent="0.35">
      <c r="B8" s="39">
        <v>44263</v>
      </c>
      <c r="C8" s="35">
        <v>3129.35</v>
      </c>
      <c r="D8" s="37">
        <f t="shared" ref="D8:D71" si="0">C8/C7-1</f>
        <v>-4.7700922065670559E-2</v>
      </c>
      <c r="F8" s="35">
        <v>15030.950194999999</v>
      </c>
      <c r="G8" s="37">
        <f t="shared" ref="G8:G71" si="1">F8/F7-1</f>
        <v>6.2156893065605789E-3</v>
      </c>
      <c r="H8" s="37"/>
      <c r="I8" s="37" t="s">
        <v>82</v>
      </c>
      <c r="J8" s="49">
        <v>0.25</v>
      </c>
      <c r="M8" t="s">
        <v>55</v>
      </c>
    </row>
    <row r="9" spans="2:14" x14ac:dyDescent="0.3">
      <c r="B9" s="39">
        <v>44270</v>
      </c>
      <c r="C9" s="35">
        <v>2960.3</v>
      </c>
      <c r="D9" s="37">
        <f t="shared" si="0"/>
        <v>-5.4020803042165166E-2</v>
      </c>
      <c r="F9" s="35">
        <v>14744</v>
      </c>
      <c r="G9" s="37">
        <f t="shared" si="1"/>
        <v>-1.9090622434199345E-2</v>
      </c>
      <c r="H9" s="37"/>
      <c r="I9" s="37" t="s">
        <v>83</v>
      </c>
      <c r="J9" s="50">
        <v>1</v>
      </c>
      <c r="M9" s="43" t="s">
        <v>56</v>
      </c>
      <c r="N9" s="43"/>
    </row>
    <row r="10" spans="2:14" x14ac:dyDescent="0.3">
      <c r="B10" s="39">
        <v>44277</v>
      </c>
      <c r="C10" s="35">
        <v>2855.2</v>
      </c>
      <c r="D10" s="37">
        <f t="shared" si="0"/>
        <v>-3.550315846366936E-2</v>
      </c>
      <c r="F10" s="35">
        <v>14507.299805000001</v>
      </c>
      <c r="G10" s="37">
        <f t="shared" si="1"/>
        <v>-1.6054001288659747E-2</v>
      </c>
      <c r="H10" s="37"/>
      <c r="I10" s="37"/>
      <c r="J10" s="37"/>
      <c r="M10" t="s">
        <v>57</v>
      </c>
      <c r="N10">
        <v>0.51157585955967022</v>
      </c>
    </row>
    <row r="11" spans="2:14" x14ac:dyDescent="0.3">
      <c r="B11" s="39">
        <v>44284</v>
      </c>
      <c r="C11" s="35">
        <v>2912.7</v>
      </c>
      <c r="D11" s="37">
        <f t="shared" si="0"/>
        <v>2.0138694312132221E-2</v>
      </c>
      <c r="F11" s="35">
        <v>14867.349609000001</v>
      </c>
      <c r="G11" s="37">
        <f t="shared" si="1"/>
        <v>2.4818526454930545E-2</v>
      </c>
      <c r="H11" s="37"/>
      <c r="I11" s="37"/>
      <c r="J11" s="37"/>
      <c r="M11" t="s">
        <v>58</v>
      </c>
      <c r="N11">
        <v>0.26170986008421548</v>
      </c>
    </row>
    <row r="12" spans="2:14" x14ac:dyDescent="0.3">
      <c r="B12" s="39">
        <v>44291</v>
      </c>
      <c r="C12" s="35">
        <v>2947.75</v>
      </c>
      <c r="D12" s="37">
        <f t="shared" si="0"/>
        <v>1.2033508428605844E-2</v>
      </c>
      <c r="F12" s="35">
        <v>14834.849609000001</v>
      </c>
      <c r="G12" s="37">
        <f t="shared" si="1"/>
        <v>-2.1859982347038898E-3</v>
      </c>
      <c r="H12" s="37"/>
      <c r="I12" s="46" t="s">
        <v>84</v>
      </c>
      <c r="J12" s="47">
        <f>(J6*J7)+J8*J9</f>
        <v>1.1824370773334496</v>
      </c>
      <c r="K12" s="48"/>
      <c r="M12" t="s">
        <v>59</v>
      </c>
      <c r="N12">
        <v>0.25447172145759012</v>
      </c>
    </row>
    <row r="13" spans="2:14" x14ac:dyDescent="0.3">
      <c r="B13" s="39">
        <v>44298</v>
      </c>
      <c r="C13" s="35">
        <v>2919.9</v>
      </c>
      <c r="D13" s="37">
        <f t="shared" si="0"/>
        <v>-9.447883979306182E-3</v>
      </c>
      <c r="F13" s="35">
        <v>14617.849609000001</v>
      </c>
      <c r="G13" s="37">
        <f t="shared" si="1"/>
        <v>-1.4627718225626696E-2</v>
      </c>
      <c r="H13" s="37"/>
      <c r="I13" s="37"/>
      <c r="J13" s="37"/>
      <c r="M13" t="s">
        <v>60</v>
      </c>
      <c r="N13">
        <v>4.2276485182466461E-2</v>
      </c>
    </row>
    <row r="14" spans="2:14" ht="15" thickBot="1" x14ac:dyDescent="0.35">
      <c r="B14" s="39">
        <v>44305</v>
      </c>
      <c r="C14" s="35">
        <v>2713.7</v>
      </c>
      <c r="D14" s="37">
        <f t="shared" si="0"/>
        <v>-7.0618856810164776E-2</v>
      </c>
      <c r="F14" s="35">
        <v>14341.349609000001</v>
      </c>
      <c r="G14" s="37">
        <f t="shared" si="1"/>
        <v>-1.8915230857879606E-2</v>
      </c>
      <c r="H14" s="37"/>
      <c r="I14" s="37"/>
      <c r="J14" s="37"/>
      <c r="M14" s="41" t="s">
        <v>61</v>
      </c>
      <c r="N14" s="41">
        <v>104</v>
      </c>
    </row>
    <row r="15" spans="2:14" x14ac:dyDescent="0.3">
      <c r="B15" s="39">
        <v>44312</v>
      </c>
      <c r="C15" s="35">
        <v>2852.9</v>
      </c>
      <c r="D15" s="37">
        <f t="shared" si="0"/>
        <v>5.1295279507683311E-2</v>
      </c>
      <c r="F15" s="35">
        <v>14631.099609000001</v>
      </c>
      <c r="G15" s="37">
        <f t="shared" si="1"/>
        <v>2.0203816788495699E-2</v>
      </c>
      <c r="H15" s="37"/>
      <c r="I15" s="37"/>
      <c r="J15" s="37"/>
    </row>
    <row r="16" spans="2:14" ht="15" thickBot="1" x14ac:dyDescent="0.35">
      <c r="B16" s="39">
        <v>44319</v>
      </c>
      <c r="C16" s="35">
        <v>2895.5</v>
      </c>
      <c r="D16" s="37">
        <f t="shared" si="0"/>
        <v>1.4932174278804E-2</v>
      </c>
      <c r="F16" s="35">
        <v>14823.150390999999</v>
      </c>
      <c r="G16" s="37">
        <f t="shared" si="1"/>
        <v>1.3126202891945438E-2</v>
      </c>
      <c r="H16" s="37"/>
      <c r="I16" s="37"/>
      <c r="J16" s="37"/>
      <c r="M16" t="s">
        <v>62</v>
      </c>
    </row>
    <row r="17" spans="2:21" x14ac:dyDescent="0.3">
      <c r="B17" s="39">
        <v>44326</v>
      </c>
      <c r="C17" s="35">
        <v>2844.65</v>
      </c>
      <c r="D17" s="37">
        <f t="shared" si="0"/>
        <v>-1.7561733724745232E-2</v>
      </c>
      <c r="F17" s="35">
        <v>14677.799805000001</v>
      </c>
      <c r="G17" s="37">
        <f t="shared" si="1"/>
        <v>-9.8056473938393784E-3</v>
      </c>
      <c r="H17" s="37"/>
      <c r="I17" s="37"/>
      <c r="J17" s="37"/>
      <c r="M17" s="42"/>
      <c r="N17" s="42" t="s">
        <v>67</v>
      </c>
      <c r="O17" s="42" t="s">
        <v>68</v>
      </c>
      <c r="P17" s="42" t="s">
        <v>69</v>
      </c>
      <c r="Q17" s="42" t="s">
        <v>70</v>
      </c>
      <c r="R17" s="42" t="s">
        <v>71</v>
      </c>
    </row>
    <row r="18" spans="2:21" x14ac:dyDescent="0.3">
      <c r="B18" s="39">
        <v>44333</v>
      </c>
      <c r="C18" s="35">
        <v>3034.15</v>
      </c>
      <c r="D18" s="37">
        <f t="shared" si="0"/>
        <v>6.6616279682913504E-2</v>
      </c>
      <c r="F18" s="35">
        <v>15175.299805000001</v>
      </c>
      <c r="G18" s="37">
        <f t="shared" si="1"/>
        <v>3.3894725817865901E-2</v>
      </c>
      <c r="H18" s="37"/>
      <c r="I18" s="37"/>
      <c r="J18" s="37"/>
      <c r="M18" t="s">
        <v>63</v>
      </c>
      <c r="N18">
        <v>1</v>
      </c>
      <c r="O18">
        <v>6.4623568426602274E-2</v>
      </c>
      <c r="P18">
        <v>6.4623568426602274E-2</v>
      </c>
      <c r="Q18">
        <v>36.157066558731181</v>
      </c>
      <c r="R18">
        <v>2.8586512810198432E-8</v>
      </c>
    </row>
    <row r="19" spans="2:21" x14ac:dyDescent="0.3">
      <c r="B19" s="39">
        <v>44340</v>
      </c>
      <c r="C19" s="35">
        <v>3022.1</v>
      </c>
      <c r="D19" s="37">
        <f t="shared" si="0"/>
        <v>-3.9714582337723181E-3</v>
      </c>
      <c r="F19" s="35">
        <v>15435.650390999999</v>
      </c>
      <c r="G19" s="37">
        <f t="shared" si="1"/>
        <v>1.7156207082921426E-2</v>
      </c>
      <c r="H19" s="37"/>
      <c r="I19" s="37"/>
      <c r="J19" s="37"/>
      <c r="M19" t="s">
        <v>64</v>
      </c>
      <c r="N19">
        <v>102</v>
      </c>
      <c r="O19">
        <v>0.18230472233709724</v>
      </c>
      <c r="P19">
        <v>1.7873011993833063E-3</v>
      </c>
    </row>
    <row r="20" spans="2:21" ht="15" thickBot="1" x14ac:dyDescent="0.35">
      <c r="B20" s="39">
        <v>44347</v>
      </c>
      <c r="C20" s="35">
        <v>3197</v>
      </c>
      <c r="D20" s="37">
        <f t="shared" si="0"/>
        <v>5.7873664008470938E-2</v>
      </c>
      <c r="F20" s="35">
        <v>15670.25</v>
      </c>
      <c r="G20" s="37">
        <f t="shared" si="1"/>
        <v>1.5198556786229611E-2</v>
      </c>
      <c r="H20" s="37"/>
      <c r="I20" s="37"/>
      <c r="J20" s="37"/>
      <c r="M20" s="41" t="s">
        <v>65</v>
      </c>
      <c r="N20" s="41">
        <v>103</v>
      </c>
      <c r="O20" s="41">
        <v>0.24692829076369952</v>
      </c>
      <c r="P20" s="41"/>
      <c r="Q20" s="41"/>
      <c r="R20" s="41"/>
    </row>
    <row r="21" spans="2:21" ht="15" thickBot="1" x14ac:dyDescent="0.35">
      <c r="B21" s="39">
        <v>44354</v>
      </c>
      <c r="C21" s="35">
        <v>3175.55</v>
      </c>
      <c r="D21" s="37">
        <f t="shared" si="0"/>
        <v>-6.7094150766342509E-3</v>
      </c>
      <c r="F21" s="35">
        <v>15799.349609000001</v>
      </c>
      <c r="G21" s="37">
        <f t="shared" si="1"/>
        <v>8.2385162329892125E-3</v>
      </c>
      <c r="H21" s="37"/>
      <c r="I21" s="37"/>
      <c r="J21" s="37"/>
    </row>
    <row r="22" spans="2:21" x14ac:dyDescent="0.3">
      <c r="B22" s="39">
        <v>44361</v>
      </c>
      <c r="C22" s="35">
        <v>3317.7</v>
      </c>
      <c r="D22" s="37">
        <f t="shared" si="0"/>
        <v>4.4763899167073351E-2</v>
      </c>
      <c r="F22" s="35">
        <v>15683.349609000001</v>
      </c>
      <c r="G22" s="37">
        <f t="shared" si="1"/>
        <v>-7.3420743809555766E-3</v>
      </c>
      <c r="H22" s="37"/>
      <c r="I22" s="37"/>
      <c r="J22" s="37"/>
      <c r="M22" s="42"/>
      <c r="N22" s="42" t="s">
        <v>72</v>
      </c>
      <c r="O22" s="42" t="s">
        <v>60</v>
      </c>
      <c r="P22" s="42" t="s">
        <v>73</v>
      </c>
      <c r="Q22" s="42" t="s">
        <v>74</v>
      </c>
      <c r="R22" s="42" t="s">
        <v>75</v>
      </c>
      <c r="S22" s="42" t="s">
        <v>76</v>
      </c>
      <c r="T22" s="42" t="s">
        <v>77</v>
      </c>
      <c r="U22" s="42" t="s">
        <v>78</v>
      </c>
    </row>
    <row r="23" spans="2:21" x14ac:dyDescent="0.3">
      <c r="B23" s="39">
        <v>44368</v>
      </c>
      <c r="C23" s="35">
        <v>3315.35</v>
      </c>
      <c r="D23" s="37">
        <f t="shared" si="0"/>
        <v>-7.0832203032222818E-4</v>
      </c>
      <c r="F23" s="35">
        <v>15860.349609000001</v>
      </c>
      <c r="G23" s="37">
        <f t="shared" si="1"/>
        <v>1.1285854387791394E-2</v>
      </c>
      <c r="H23" s="37"/>
      <c r="I23" s="37"/>
      <c r="J23" s="37"/>
      <c r="M23" t="s">
        <v>66</v>
      </c>
      <c r="N23">
        <v>4.2240965025803871E-5</v>
      </c>
      <c r="O23">
        <v>4.1697664830439574E-3</v>
      </c>
      <c r="P23">
        <v>1.0130295113065345E-2</v>
      </c>
      <c r="Q23">
        <v>0.9919371194156511</v>
      </c>
      <c r="R23">
        <v>-8.2284710834063073E-3</v>
      </c>
      <c r="S23">
        <v>8.3129530134579133E-3</v>
      </c>
      <c r="T23">
        <v>-8.2284710834063073E-3</v>
      </c>
      <c r="U23">
        <v>8.3129530134579133E-3</v>
      </c>
    </row>
    <row r="24" spans="2:21" ht="15" thickBot="1" x14ac:dyDescent="0.35">
      <c r="B24" s="39">
        <v>44375</v>
      </c>
      <c r="C24" s="35">
        <v>3314.3</v>
      </c>
      <c r="D24" s="37">
        <f t="shared" si="0"/>
        <v>-3.1670864312960401E-4</v>
      </c>
      <c r="F24" s="35">
        <v>15722.200194999999</v>
      </c>
      <c r="G24" s="37">
        <f t="shared" si="1"/>
        <v>-8.7103637313018512E-3</v>
      </c>
      <c r="H24" s="37"/>
      <c r="I24" s="37"/>
      <c r="J24" s="37"/>
      <c r="M24" s="41" t="s">
        <v>79</v>
      </c>
      <c r="N24" s="41">
        <v>1.2432494364445994</v>
      </c>
      <c r="O24" s="41">
        <v>0.2067576925346028</v>
      </c>
      <c r="P24" s="41">
        <v>6.0130746343889001</v>
      </c>
      <c r="Q24" s="41">
        <v>2.8586512810198217E-8</v>
      </c>
      <c r="R24" s="41">
        <v>0.83314653363081281</v>
      </c>
      <c r="S24" s="41">
        <v>1.653352339258386</v>
      </c>
      <c r="T24" s="41">
        <v>0.83314653363081281</v>
      </c>
      <c r="U24" s="41">
        <v>1.653352339258386</v>
      </c>
    </row>
    <row r="25" spans="2:21" x14ac:dyDescent="0.3">
      <c r="B25" s="39">
        <v>44382</v>
      </c>
      <c r="C25" s="35">
        <v>3377.6</v>
      </c>
      <c r="D25" s="37">
        <f t="shared" si="0"/>
        <v>1.9099055607518789E-2</v>
      </c>
      <c r="F25" s="35">
        <v>15689.799805000001</v>
      </c>
      <c r="G25" s="37">
        <f t="shared" si="1"/>
        <v>-2.0608050780515086E-3</v>
      </c>
      <c r="H25" s="37"/>
      <c r="I25" s="37"/>
      <c r="J25" s="37"/>
    </row>
    <row r="26" spans="2:21" x14ac:dyDescent="0.3">
      <c r="B26" s="39">
        <v>44389</v>
      </c>
      <c r="C26" s="35">
        <v>3349.2</v>
      </c>
      <c r="D26" s="37">
        <f t="shared" si="0"/>
        <v>-8.4083372809095058E-3</v>
      </c>
      <c r="F26" s="35">
        <v>15923.400390999999</v>
      </c>
      <c r="G26" s="37">
        <f t="shared" si="1"/>
        <v>1.488869130921322E-2</v>
      </c>
      <c r="H26" s="37"/>
      <c r="I26" s="37"/>
      <c r="J26" s="37"/>
    </row>
    <row r="27" spans="2:21" x14ac:dyDescent="0.3">
      <c r="B27" s="39">
        <v>44396</v>
      </c>
      <c r="C27" s="35">
        <v>3413.2</v>
      </c>
      <c r="D27" s="37">
        <f t="shared" si="0"/>
        <v>1.9109040965006541E-2</v>
      </c>
      <c r="F27" s="35">
        <v>15856.049805000001</v>
      </c>
      <c r="G27" s="37">
        <f t="shared" si="1"/>
        <v>-4.2296610237889665E-3</v>
      </c>
      <c r="H27" s="37"/>
      <c r="I27" s="37"/>
      <c r="J27" s="37"/>
    </row>
    <row r="28" spans="2:21" x14ac:dyDescent="0.3">
      <c r="B28" s="39">
        <v>44403</v>
      </c>
      <c r="C28" s="35">
        <v>3500.8</v>
      </c>
      <c r="D28" s="37">
        <f t="shared" si="0"/>
        <v>2.5665065041603263E-2</v>
      </c>
      <c r="F28" s="35">
        <v>15763.049805000001</v>
      </c>
      <c r="G28" s="37">
        <f t="shared" si="1"/>
        <v>-5.8652691650018518E-3</v>
      </c>
      <c r="H28" s="37"/>
      <c r="I28" s="37"/>
      <c r="J28" s="37"/>
    </row>
    <row r="29" spans="2:21" x14ac:dyDescent="0.3">
      <c r="B29" s="39">
        <v>44410</v>
      </c>
      <c r="C29" s="35">
        <v>3529.2</v>
      </c>
      <c r="D29" s="37">
        <f t="shared" si="0"/>
        <v>8.1124314442411194E-3</v>
      </c>
      <c r="F29" s="35">
        <v>16238.200194999999</v>
      </c>
      <c r="G29" s="37">
        <f t="shared" si="1"/>
        <v>3.0143303223547635E-2</v>
      </c>
      <c r="H29" s="37"/>
      <c r="I29" s="37"/>
      <c r="J29" s="37"/>
    </row>
    <row r="30" spans="2:21" x14ac:dyDescent="0.3">
      <c r="B30" s="39">
        <v>44417</v>
      </c>
      <c r="C30" s="35">
        <v>3594.55</v>
      </c>
      <c r="D30" s="37">
        <f t="shared" si="0"/>
        <v>1.8516944349994402E-2</v>
      </c>
      <c r="F30" s="35">
        <v>16529.099609000001</v>
      </c>
      <c r="G30" s="37">
        <f t="shared" si="1"/>
        <v>1.79145108760006E-2</v>
      </c>
      <c r="H30" s="37"/>
      <c r="I30" s="37"/>
      <c r="J30" s="37"/>
    </row>
    <row r="31" spans="2:21" x14ac:dyDescent="0.3">
      <c r="B31" s="39">
        <v>44424</v>
      </c>
      <c r="C31" s="35">
        <v>3643.1</v>
      </c>
      <c r="D31" s="37">
        <f t="shared" si="0"/>
        <v>1.3506558540011815E-2</v>
      </c>
      <c r="F31" s="35">
        <v>16450.5</v>
      </c>
      <c r="G31" s="37">
        <f t="shared" si="1"/>
        <v>-4.7552262893499897E-3</v>
      </c>
      <c r="H31" s="37"/>
      <c r="I31" s="37"/>
      <c r="J31" s="37"/>
    </row>
    <row r="32" spans="2:21" x14ac:dyDescent="0.3">
      <c r="B32" s="39">
        <v>44431</v>
      </c>
      <c r="C32" s="35">
        <v>3833.05</v>
      </c>
      <c r="D32" s="37">
        <f t="shared" si="0"/>
        <v>5.2139661277483595E-2</v>
      </c>
      <c r="F32" s="35">
        <v>16705.199218999998</v>
      </c>
      <c r="G32" s="37">
        <f t="shared" si="1"/>
        <v>1.5482764596820742E-2</v>
      </c>
      <c r="H32" s="37"/>
      <c r="I32" s="37"/>
      <c r="J32" s="37"/>
    </row>
    <row r="33" spans="2:10" x14ac:dyDescent="0.3">
      <c r="B33" s="39">
        <v>44438</v>
      </c>
      <c r="C33" s="35">
        <v>3938.9</v>
      </c>
      <c r="D33" s="37">
        <f t="shared" si="0"/>
        <v>2.7615084593209049E-2</v>
      </c>
      <c r="F33" s="35">
        <v>17323.599609000001</v>
      </c>
      <c r="G33" s="37">
        <f t="shared" si="1"/>
        <v>3.7018438504860862E-2</v>
      </c>
      <c r="H33" s="37"/>
      <c r="I33" s="37"/>
      <c r="J33" s="37"/>
    </row>
    <row r="34" spans="2:10" x14ac:dyDescent="0.3">
      <c r="B34" s="39">
        <v>44445</v>
      </c>
      <c r="C34" s="35">
        <v>3950.5</v>
      </c>
      <c r="D34" s="37">
        <f t="shared" si="0"/>
        <v>2.9449846403817315E-3</v>
      </c>
      <c r="F34" s="35">
        <v>17369.25</v>
      </c>
      <c r="G34" s="37">
        <f t="shared" si="1"/>
        <v>2.6351562048503308E-3</v>
      </c>
      <c r="H34" s="37"/>
      <c r="I34" s="37"/>
      <c r="J34" s="37"/>
    </row>
    <row r="35" spans="2:10" x14ac:dyDescent="0.3">
      <c r="B35" s="39">
        <v>44452</v>
      </c>
      <c r="C35" s="35">
        <v>4239.6499999999996</v>
      </c>
      <c r="D35" s="37">
        <f t="shared" si="0"/>
        <v>7.3193266675104285E-2</v>
      </c>
      <c r="F35" s="35">
        <v>17585.150390999999</v>
      </c>
      <c r="G35" s="37">
        <f t="shared" si="1"/>
        <v>1.2430035321041366E-2</v>
      </c>
      <c r="H35" s="37"/>
      <c r="I35" s="37"/>
      <c r="J35" s="37"/>
    </row>
    <row r="36" spans="2:10" x14ac:dyDescent="0.3">
      <c r="B36" s="39">
        <v>44459</v>
      </c>
      <c r="C36" s="35">
        <v>4422.3500000000004</v>
      </c>
      <c r="D36" s="37">
        <f t="shared" si="0"/>
        <v>4.3093179861545261E-2</v>
      </c>
      <c r="F36" s="35">
        <v>17853.199218999998</v>
      </c>
      <c r="G36" s="37">
        <f t="shared" si="1"/>
        <v>1.5242907910368864E-2</v>
      </c>
      <c r="H36" s="37"/>
      <c r="I36" s="37"/>
      <c r="J36" s="37"/>
    </row>
    <row r="37" spans="2:10" x14ac:dyDescent="0.3">
      <c r="B37" s="39">
        <v>44466</v>
      </c>
      <c r="C37" s="35">
        <v>4235.6000000000004</v>
      </c>
      <c r="D37" s="37">
        <f t="shared" si="0"/>
        <v>-4.2228679322079854E-2</v>
      </c>
      <c r="F37" s="35">
        <v>17532.050781000002</v>
      </c>
      <c r="G37" s="37">
        <f t="shared" si="1"/>
        <v>-1.7988285128091697E-2</v>
      </c>
      <c r="H37" s="37"/>
      <c r="I37" s="37"/>
      <c r="J37" s="37"/>
    </row>
    <row r="38" spans="2:10" x14ac:dyDescent="0.3">
      <c r="B38" s="39">
        <v>44473</v>
      </c>
      <c r="C38" s="35">
        <v>4407.95</v>
      </c>
      <c r="D38" s="37">
        <f t="shared" si="0"/>
        <v>4.0690811219189493E-2</v>
      </c>
      <c r="F38" s="35">
        <v>17895.199218999998</v>
      </c>
      <c r="G38" s="37">
        <f t="shared" si="1"/>
        <v>2.0713403271313213E-2</v>
      </c>
      <c r="H38" s="37"/>
      <c r="I38" s="37"/>
      <c r="J38" s="37"/>
    </row>
    <row r="39" spans="2:10" x14ac:dyDescent="0.3">
      <c r="B39" s="39">
        <v>44480</v>
      </c>
      <c r="C39" s="35">
        <v>5323.75</v>
      </c>
      <c r="D39" s="37">
        <f t="shared" si="0"/>
        <v>0.20776097732506038</v>
      </c>
      <c r="F39" s="35">
        <v>18338.550781000002</v>
      </c>
      <c r="G39" s="37">
        <f t="shared" si="1"/>
        <v>2.4774888313580767E-2</v>
      </c>
      <c r="H39" s="37"/>
      <c r="I39" s="37"/>
      <c r="J39" s="37"/>
    </row>
    <row r="40" spans="2:10" x14ac:dyDescent="0.3">
      <c r="B40" s="39">
        <v>44487</v>
      </c>
      <c r="C40" s="35">
        <v>4521.45</v>
      </c>
      <c r="D40" s="37">
        <f t="shared" si="0"/>
        <v>-0.150702042733036</v>
      </c>
      <c r="F40" s="35">
        <v>18114.900390999999</v>
      </c>
      <c r="G40" s="37">
        <f t="shared" si="1"/>
        <v>-1.2195641447944716E-2</v>
      </c>
      <c r="H40" s="37"/>
      <c r="I40" s="37"/>
      <c r="J40" s="37"/>
    </row>
    <row r="41" spans="2:10" x14ac:dyDescent="0.3">
      <c r="B41" s="39">
        <v>44494</v>
      </c>
      <c r="C41" s="35">
        <v>4635.45</v>
      </c>
      <c r="D41" s="37">
        <f t="shared" si="0"/>
        <v>2.52131506485751E-2</v>
      </c>
      <c r="F41" s="35">
        <v>17671.650390999999</v>
      </c>
      <c r="G41" s="37">
        <f t="shared" si="1"/>
        <v>-2.4468806917658736E-2</v>
      </c>
      <c r="H41" s="37"/>
      <c r="I41" s="37"/>
      <c r="J41" s="37"/>
    </row>
    <row r="42" spans="2:10" x14ac:dyDescent="0.3">
      <c r="B42" s="39">
        <v>44501</v>
      </c>
      <c r="C42" s="35">
        <v>4783.7</v>
      </c>
      <c r="D42" s="37">
        <f t="shared" si="0"/>
        <v>3.1981792490481054E-2</v>
      </c>
      <c r="F42" s="35">
        <v>17916.800781000002</v>
      </c>
      <c r="G42" s="37">
        <f t="shared" si="1"/>
        <v>1.3872523764099309E-2</v>
      </c>
      <c r="H42" s="37"/>
      <c r="I42" s="37"/>
      <c r="J42" s="37"/>
    </row>
    <row r="43" spans="2:10" x14ac:dyDescent="0.3">
      <c r="B43" s="39">
        <v>44508</v>
      </c>
      <c r="C43" s="35">
        <v>5078.55</v>
      </c>
      <c r="D43" s="37">
        <f t="shared" si="0"/>
        <v>6.163639024186307E-2</v>
      </c>
      <c r="F43" s="35">
        <v>18102.75</v>
      </c>
      <c r="G43" s="37">
        <f t="shared" si="1"/>
        <v>1.0378483372834646E-2</v>
      </c>
      <c r="H43" s="37"/>
      <c r="I43" s="37"/>
      <c r="J43" s="37"/>
    </row>
    <row r="44" spans="2:10" x14ac:dyDescent="0.3">
      <c r="B44" s="39">
        <v>44515</v>
      </c>
      <c r="C44" s="35">
        <v>5080.8999999999996</v>
      </c>
      <c r="D44" s="37">
        <f t="shared" si="0"/>
        <v>4.6273050378542457E-4</v>
      </c>
      <c r="F44" s="35">
        <v>17764.800781000002</v>
      </c>
      <c r="G44" s="37">
        <f t="shared" si="1"/>
        <v>-1.8668391211279944E-2</v>
      </c>
      <c r="H44" s="37"/>
      <c r="I44" s="37"/>
      <c r="J44" s="37"/>
    </row>
    <row r="45" spans="2:10" x14ac:dyDescent="0.3">
      <c r="B45" s="39">
        <v>44522</v>
      </c>
      <c r="C45" s="35">
        <v>4718.75</v>
      </c>
      <c r="D45" s="37">
        <f t="shared" si="0"/>
        <v>-7.1276742309433261E-2</v>
      </c>
      <c r="F45" s="35">
        <v>17026.449218999998</v>
      </c>
      <c r="G45" s="37">
        <f t="shared" si="1"/>
        <v>-4.1562614245001406E-2</v>
      </c>
      <c r="H45" s="37"/>
      <c r="I45" s="37"/>
      <c r="J45" s="37"/>
    </row>
    <row r="46" spans="2:10" x14ac:dyDescent="0.3">
      <c r="B46" s="39">
        <v>44529</v>
      </c>
      <c r="C46" s="35">
        <v>4799.05</v>
      </c>
      <c r="D46" s="37">
        <f t="shared" si="0"/>
        <v>1.7017218543046386E-2</v>
      </c>
      <c r="F46" s="35">
        <v>17196.699218999998</v>
      </c>
      <c r="G46" s="37">
        <f t="shared" si="1"/>
        <v>9.9991488424970854E-3</v>
      </c>
      <c r="H46" s="37"/>
      <c r="I46" s="37"/>
      <c r="J46" s="37"/>
    </row>
    <row r="47" spans="2:10" x14ac:dyDescent="0.3">
      <c r="B47" s="39">
        <v>44536</v>
      </c>
      <c r="C47" s="35">
        <v>4796.6000000000004</v>
      </c>
      <c r="D47" s="37">
        <f t="shared" si="0"/>
        <v>-5.1051770662935425E-4</v>
      </c>
      <c r="F47" s="35">
        <v>17511.300781000002</v>
      </c>
      <c r="G47" s="37">
        <f t="shared" si="1"/>
        <v>1.8294299271828462E-2</v>
      </c>
      <c r="H47" s="37"/>
      <c r="I47" s="37"/>
      <c r="J47" s="37"/>
    </row>
    <row r="48" spans="2:10" x14ac:dyDescent="0.3">
      <c r="B48" s="39">
        <v>44543</v>
      </c>
      <c r="C48" s="35">
        <v>4697.8</v>
      </c>
      <c r="D48" s="37">
        <f t="shared" si="0"/>
        <v>-2.0597923529166562E-2</v>
      </c>
      <c r="F48" s="35">
        <v>16985.199218999998</v>
      </c>
      <c r="G48" s="37">
        <f t="shared" si="1"/>
        <v>-3.0043545512668635E-2</v>
      </c>
      <c r="H48" s="37"/>
      <c r="I48" s="37"/>
      <c r="J48" s="37"/>
    </row>
    <row r="49" spans="2:10" x14ac:dyDescent="0.3">
      <c r="B49" s="39">
        <v>44550</v>
      </c>
      <c r="C49" s="35">
        <v>4628.8999999999996</v>
      </c>
      <c r="D49" s="37">
        <f t="shared" si="0"/>
        <v>-1.4666439610030335E-2</v>
      </c>
      <c r="F49" s="35">
        <v>17003.75</v>
      </c>
      <c r="G49" s="37">
        <f t="shared" si="1"/>
        <v>1.0921732951623131E-3</v>
      </c>
      <c r="H49" s="37"/>
      <c r="I49" s="37"/>
      <c r="J49" s="37"/>
    </row>
    <row r="50" spans="2:10" x14ac:dyDescent="0.3">
      <c r="B50" s="39">
        <v>44557</v>
      </c>
      <c r="C50" s="35">
        <v>4671.45</v>
      </c>
      <c r="D50" s="37">
        <f t="shared" si="0"/>
        <v>9.1922486983948559E-3</v>
      </c>
      <c r="F50" s="35">
        <v>17354.050781000002</v>
      </c>
      <c r="G50" s="37">
        <f t="shared" si="1"/>
        <v>2.0601383871204915E-2</v>
      </c>
      <c r="H50" s="37"/>
      <c r="I50" s="37"/>
      <c r="J50" s="37"/>
    </row>
    <row r="51" spans="2:10" x14ac:dyDescent="0.3">
      <c r="B51" s="39">
        <v>44564</v>
      </c>
      <c r="C51" s="35">
        <v>4731.3500000000004</v>
      </c>
      <c r="D51" s="37">
        <f t="shared" si="0"/>
        <v>1.28225711502854E-2</v>
      </c>
      <c r="F51" s="35">
        <v>17812.699218999998</v>
      </c>
      <c r="G51" s="37">
        <f t="shared" si="1"/>
        <v>2.6428898001275014E-2</v>
      </c>
      <c r="H51" s="37"/>
      <c r="I51" s="37"/>
      <c r="J51" s="37"/>
    </row>
    <row r="52" spans="2:10" x14ac:dyDescent="0.3">
      <c r="B52" s="39">
        <v>44571</v>
      </c>
      <c r="C52" s="35">
        <v>4322.7</v>
      </c>
      <c r="D52" s="37">
        <f t="shared" si="0"/>
        <v>-8.6370697581028777E-2</v>
      </c>
      <c r="F52" s="35">
        <v>18255.75</v>
      </c>
      <c r="G52" s="37">
        <f t="shared" si="1"/>
        <v>2.4872748119354027E-2</v>
      </c>
      <c r="H52" s="37"/>
      <c r="I52" s="37"/>
      <c r="J52" s="37"/>
    </row>
    <row r="53" spans="2:10" x14ac:dyDescent="0.3">
      <c r="B53" s="39">
        <v>44578</v>
      </c>
      <c r="C53" s="35">
        <v>4299.8</v>
      </c>
      <c r="D53" s="37">
        <f t="shared" si="0"/>
        <v>-5.2976149166029662E-3</v>
      </c>
      <c r="F53" s="35">
        <v>17617.150390999999</v>
      </c>
      <c r="G53" s="37">
        <f t="shared" si="1"/>
        <v>-3.4980738068827621E-2</v>
      </c>
      <c r="H53" s="37"/>
      <c r="I53" s="37"/>
      <c r="J53" s="37"/>
    </row>
    <row r="54" spans="2:10" x14ac:dyDescent="0.3">
      <c r="B54" s="39">
        <v>44585</v>
      </c>
      <c r="C54" s="35">
        <v>4076</v>
      </c>
      <c r="D54" s="37">
        <f t="shared" si="0"/>
        <v>-5.2048932508488854E-2</v>
      </c>
      <c r="F54" s="35">
        <v>17101.949218999998</v>
      </c>
      <c r="G54" s="37">
        <f t="shared" si="1"/>
        <v>-2.9244296640800638E-2</v>
      </c>
      <c r="H54" s="37"/>
      <c r="I54" s="37"/>
      <c r="J54" s="37"/>
    </row>
    <row r="55" spans="2:10" x14ac:dyDescent="0.3">
      <c r="B55" s="39">
        <v>44592</v>
      </c>
      <c r="C55" s="35">
        <v>4081.9</v>
      </c>
      <c r="D55" s="37">
        <f t="shared" si="0"/>
        <v>1.4474975466143292E-3</v>
      </c>
      <c r="F55" s="35">
        <v>17516.300781000002</v>
      </c>
      <c r="G55" s="37">
        <f t="shared" si="1"/>
        <v>2.4228323724623468E-2</v>
      </c>
      <c r="H55" s="37"/>
      <c r="I55" s="37"/>
      <c r="J55" s="37"/>
    </row>
    <row r="56" spans="2:10" x14ac:dyDescent="0.3">
      <c r="B56" s="39">
        <v>44599</v>
      </c>
      <c r="C56" s="35">
        <v>4142.25</v>
      </c>
      <c r="D56" s="37">
        <f t="shared" si="0"/>
        <v>1.4784781596805407E-2</v>
      </c>
      <c r="F56" s="35">
        <v>17374.75</v>
      </c>
      <c r="G56" s="37">
        <f t="shared" si="1"/>
        <v>-8.0810887395552644E-3</v>
      </c>
      <c r="H56" s="37"/>
      <c r="I56" s="37"/>
      <c r="J56" s="37"/>
    </row>
    <row r="57" spans="2:10" x14ac:dyDescent="0.3">
      <c r="B57" s="39">
        <v>44606</v>
      </c>
      <c r="C57" s="35">
        <v>4073.1</v>
      </c>
      <c r="D57" s="37">
        <f t="shared" si="0"/>
        <v>-1.6693825819301122E-2</v>
      </c>
      <c r="F57" s="35">
        <v>17276.300781000002</v>
      </c>
      <c r="G57" s="37">
        <f t="shared" si="1"/>
        <v>-5.66622362911684E-3</v>
      </c>
      <c r="H57" s="37"/>
      <c r="I57" s="37"/>
      <c r="J57" s="37"/>
    </row>
    <row r="58" spans="2:10" x14ac:dyDescent="0.3">
      <c r="B58" s="39">
        <v>44613</v>
      </c>
      <c r="C58" s="35">
        <v>4190.75</v>
      </c>
      <c r="D58" s="37">
        <f t="shared" si="0"/>
        <v>2.8884633325968023E-2</v>
      </c>
      <c r="F58" s="35">
        <v>16658.400390999999</v>
      </c>
      <c r="G58" s="37">
        <f t="shared" si="1"/>
        <v>-3.5765780987070617E-2</v>
      </c>
      <c r="H58" s="37"/>
      <c r="I58" s="37"/>
      <c r="J58" s="37"/>
    </row>
    <row r="59" spans="2:10" x14ac:dyDescent="0.3">
      <c r="B59" s="39">
        <v>44620</v>
      </c>
      <c r="C59" s="35">
        <v>4110.2</v>
      </c>
      <c r="D59" s="37">
        <f t="shared" si="0"/>
        <v>-1.9220903179621884E-2</v>
      </c>
      <c r="F59" s="35">
        <v>16245.349609000001</v>
      </c>
      <c r="G59" s="37">
        <f t="shared" si="1"/>
        <v>-2.479534482933643E-2</v>
      </c>
      <c r="H59" s="37"/>
      <c r="I59" s="37"/>
      <c r="J59" s="37"/>
    </row>
    <row r="60" spans="2:10" x14ac:dyDescent="0.3">
      <c r="B60" s="39">
        <v>44627</v>
      </c>
      <c r="C60" s="35">
        <v>4198.95</v>
      </c>
      <c r="D60" s="37">
        <f t="shared" si="0"/>
        <v>2.1592623230013208E-2</v>
      </c>
      <c r="F60" s="35">
        <v>16630.449218999998</v>
      </c>
      <c r="G60" s="37">
        <f t="shared" si="1"/>
        <v>2.3705221449137115E-2</v>
      </c>
      <c r="H60" s="37"/>
      <c r="I60" s="37"/>
      <c r="J60" s="37"/>
    </row>
    <row r="61" spans="2:10" x14ac:dyDescent="0.3">
      <c r="B61" s="39">
        <v>44634</v>
      </c>
      <c r="C61" s="35">
        <v>4192.75</v>
      </c>
      <c r="D61" s="37">
        <f t="shared" si="0"/>
        <v>-1.4765596160944972E-3</v>
      </c>
      <c r="F61" s="35">
        <v>17287.050781000002</v>
      </c>
      <c r="G61" s="37">
        <f t="shared" si="1"/>
        <v>3.9481889716475482E-2</v>
      </c>
      <c r="H61" s="37"/>
      <c r="I61" s="37"/>
      <c r="J61" s="37"/>
    </row>
    <row r="62" spans="2:10" x14ac:dyDescent="0.3">
      <c r="B62" s="39">
        <v>44641</v>
      </c>
      <c r="C62" s="35">
        <v>4001.3</v>
      </c>
      <c r="D62" s="37">
        <f t="shared" si="0"/>
        <v>-4.566215491026171E-2</v>
      </c>
      <c r="F62" s="35">
        <v>17153</v>
      </c>
      <c r="G62" s="37">
        <f t="shared" si="1"/>
        <v>-7.7544043051771538E-3</v>
      </c>
      <c r="H62" s="37"/>
      <c r="I62" s="37"/>
      <c r="J62" s="37"/>
    </row>
    <row r="63" spans="2:10" x14ac:dyDescent="0.3">
      <c r="B63" s="39">
        <v>44648</v>
      </c>
      <c r="C63" s="35">
        <v>4082.2</v>
      </c>
      <c r="D63" s="37">
        <f t="shared" si="0"/>
        <v>2.0218429010571581E-2</v>
      </c>
      <c r="F63" s="35">
        <v>17670.449218999998</v>
      </c>
      <c r="G63" s="37">
        <f t="shared" si="1"/>
        <v>3.0166689150585846E-2</v>
      </c>
      <c r="H63" s="37"/>
      <c r="I63" s="37"/>
      <c r="J63" s="37"/>
    </row>
    <row r="64" spans="2:10" x14ac:dyDescent="0.3">
      <c r="B64" s="39">
        <v>44655</v>
      </c>
      <c r="C64" s="35">
        <v>4146.25</v>
      </c>
      <c r="D64" s="37">
        <f t="shared" si="0"/>
        <v>1.5690069080397828E-2</v>
      </c>
      <c r="F64" s="35">
        <v>17784.349609000001</v>
      </c>
      <c r="G64" s="37">
        <f t="shared" si="1"/>
        <v>6.4458117950692007E-3</v>
      </c>
      <c r="H64" s="37"/>
      <c r="I64" s="37"/>
      <c r="J64" s="37"/>
    </row>
    <row r="65" spans="2:10" x14ac:dyDescent="0.3">
      <c r="B65" s="39">
        <v>44662</v>
      </c>
      <c r="C65" s="35">
        <v>4090.9</v>
      </c>
      <c r="D65" s="37">
        <f t="shared" si="0"/>
        <v>-1.3349412119385007E-2</v>
      </c>
      <c r="F65" s="35">
        <v>17475.650390999999</v>
      </c>
      <c r="G65" s="37">
        <f t="shared" si="1"/>
        <v>-1.7357914390289553E-2</v>
      </c>
      <c r="H65" s="37"/>
      <c r="I65" s="37"/>
      <c r="J65" s="37"/>
    </row>
    <row r="66" spans="2:10" x14ac:dyDescent="0.3">
      <c r="B66" s="39">
        <v>44669</v>
      </c>
      <c r="C66" s="35">
        <v>4028.85</v>
      </c>
      <c r="D66" s="37">
        <f t="shared" si="0"/>
        <v>-1.5167811484025573E-2</v>
      </c>
      <c r="F66" s="35">
        <v>17171.949218999998</v>
      </c>
      <c r="G66" s="37">
        <f t="shared" si="1"/>
        <v>-1.7378533285170805E-2</v>
      </c>
      <c r="H66" s="37"/>
      <c r="I66" s="37"/>
      <c r="J66" s="37"/>
    </row>
    <row r="67" spans="2:10" x14ac:dyDescent="0.3">
      <c r="B67" s="39">
        <v>44676</v>
      </c>
      <c r="C67" s="35">
        <v>3944.25</v>
      </c>
      <c r="D67" s="37">
        <f t="shared" si="0"/>
        <v>-2.0998547972746584E-2</v>
      </c>
      <c r="F67" s="35">
        <v>17102.550781000002</v>
      </c>
      <c r="G67" s="37">
        <f t="shared" si="1"/>
        <v>-4.041383835634127E-3</v>
      </c>
      <c r="H67" s="37"/>
      <c r="I67" s="37"/>
      <c r="J67" s="37"/>
    </row>
    <row r="68" spans="2:10" x14ac:dyDescent="0.3">
      <c r="B68" s="39">
        <v>44683</v>
      </c>
      <c r="C68" s="35">
        <v>3666.2</v>
      </c>
      <c r="D68" s="37">
        <f t="shared" si="0"/>
        <v>-7.0495024402611461E-2</v>
      </c>
      <c r="F68" s="35">
        <v>16411.25</v>
      </c>
      <c r="G68" s="37">
        <f t="shared" si="1"/>
        <v>-4.0420916730619982E-2</v>
      </c>
      <c r="H68" s="37"/>
      <c r="I68" s="37"/>
      <c r="J68" s="37"/>
    </row>
    <row r="69" spans="2:10" x14ac:dyDescent="0.3">
      <c r="B69" s="39">
        <v>44690</v>
      </c>
      <c r="C69" s="35">
        <v>3230.6</v>
      </c>
      <c r="D69" s="37">
        <f t="shared" si="0"/>
        <v>-0.11881512192460852</v>
      </c>
      <c r="F69" s="35">
        <v>15782.150390999999</v>
      </c>
      <c r="G69" s="37">
        <f t="shared" si="1"/>
        <v>-3.8333436453652281E-2</v>
      </c>
      <c r="H69" s="37"/>
      <c r="I69" s="37"/>
      <c r="J69" s="37"/>
    </row>
    <row r="70" spans="2:10" x14ac:dyDescent="0.3">
      <c r="B70" s="39">
        <v>44697</v>
      </c>
      <c r="C70" s="35">
        <v>3630.4</v>
      </c>
      <c r="D70" s="37">
        <f t="shared" si="0"/>
        <v>0.12375410140531184</v>
      </c>
      <c r="F70" s="35">
        <v>16266.150390999999</v>
      </c>
      <c r="G70" s="37">
        <f t="shared" si="1"/>
        <v>3.0667557209187901E-2</v>
      </c>
      <c r="H70" s="37"/>
      <c r="I70" s="37"/>
      <c r="J70" s="37"/>
    </row>
    <row r="71" spans="2:10" x14ac:dyDescent="0.3">
      <c r="B71" s="39">
        <v>44704</v>
      </c>
      <c r="C71" s="35">
        <v>3613.85</v>
      </c>
      <c r="D71" s="37">
        <f t="shared" si="0"/>
        <v>-4.5587263111502851E-3</v>
      </c>
      <c r="F71" s="35">
        <v>16352.450194999999</v>
      </c>
      <c r="G71" s="37">
        <f t="shared" si="1"/>
        <v>5.3054842064996777E-3</v>
      </c>
      <c r="H71" s="37"/>
      <c r="I71" s="37"/>
      <c r="J71" s="37"/>
    </row>
    <row r="72" spans="2:10" x14ac:dyDescent="0.3">
      <c r="B72" s="39">
        <v>44711</v>
      </c>
      <c r="C72" s="35">
        <v>3820.1</v>
      </c>
      <c r="D72" s="37">
        <f t="shared" ref="D72:D110" si="2">C72/C71-1</f>
        <v>5.7072097624417228E-2</v>
      </c>
      <c r="F72" s="35">
        <v>16584.300781000002</v>
      </c>
      <c r="G72" s="37">
        <f t="shared" ref="G72:G110" si="3">F72/F71-1</f>
        <v>1.4178339223494207E-2</v>
      </c>
      <c r="H72" s="37"/>
      <c r="I72" s="37"/>
      <c r="J72" s="37"/>
    </row>
    <row r="73" spans="2:10" x14ac:dyDescent="0.3">
      <c r="B73" s="39">
        <v>44718</v>
      </c>
      <c r="C73" s="35">
        <v>3755.65</v>
      </c>
      <c r="D73" s="37">
        <f t="shared" si="2"/>
        <v>-1.687128609198707E-2</v>
      </c>
      <c r="F73" s="35">
        <v>16201.799805000001</v>
      </c>
      <c r="G73" s="37">
        <f t="shared" si="3"/>
        <v>-2.3064039964724836E-2</v>
      </c>
      <c r="H73" s="37"/>
      <c r="I73" s="37"/>
      <c r="J73" s="37"/>
    </row>
    <row r="74" spans="2:10" x14ac:dyDescent="0.3">
      <c r="B74" s="39">
        <v>44725</v>
      </c>
      <c r="C74" s="35">
        <v>3460.55</v>
      </c>
      <c r="D74" s="37">
        <f t="shared" si="2"/>
        <v>-7.8574947079733226E-2</v>
      </c>
      <c r="F74" s="35">
        <v>15293.5</v>
      </c>
      <c r="G74" s="37">
        <f t="shared" si="3"/>
        <v>-5.606166079892505E-2</v>
      </c>
      <c r="H74" s="37"/>
      <c r="I74" s="37"/>
      <c r="J74" s="37"/>
    </row>
    <row r="75" spans="2:10" x14ac:dyDescent="0.3">
      <c r="B75" s="39">
        <v>44732</v>
      </c>
      <c r="C75" s="35">
        <v>3412</v>
      </c>
      <c r="D75" s="37">
        <f t="shared" si="2"/>
        <v>-1.4029561774862476E-2</v>
      </c>
      <c r="F75" s="35">
        <v>15699.25</v>
      </c>
      <c r="G75" s="37">
        <f t="shared" si="3"/>
        <v>2.6530879131657192E-2</v>
      </c>
      <c r="H75" s="37"/>
      <c r="I75" s="37"/>
      <c r="J75" s="37"/>
    </row>
    <row r="76" spans="2:10" x14ac:dyDescent="0.3">
      <c r="B76" s="39">
        <v>44739</v>
      </c>
      <c r="C76" s="35">
        <v>3388.75</v>
      </c>
      <c r="D76" s="37">
        <f t="shared" si="2"/>
        <v>-6.8141852286048854E-3</v>
      </c>
      <c r="F76" s="35">
        <v>15752.049805000001</v>
      </c>
      <c r="G76" s="37">
        <f t="shared" si="3"/>
        <v>3.3632055671448668E-3</v>
      </c>
      <c r="H76" s="37"/>
      <c r="I76" s="37"/>
      <c r="J76" s="37"/>
    </row>
    <row r="77" spans="2:10" x14ac:dyDescent="0.3">
      <c r="B77" s="39">
        <v>44746</v>
      </c>
      <c r="C77" s="35">
        <v>3941.7</v>
      </c>
      <c r="D77" s="37">
        <f t="shared" si="2"/>
        <v>0.16317226115824424</v>
      </c>
      <c r="F77" s="35">
        <v>16220.599609000001</v>
      </c>
      <c r="G77" s="37">
        <f t="shared" si="3"/>
        <v>2.9745322659611828E-2</v>
      </c>
      <c r="H77" s="37"/>
      <c r="I77" s="37"/>
      <c r="J77" s="37"/>
    </row>
    <row r="78" spans="2:10" x14ac:dyDescent="0.3">
      <c r="B78" s="39">
        <v>44753</v>
      </c>
      <c r="C78" s="35">
        <v>3926.8</v>
      </c>
      <c r="D78" s="37">
        <f t="shared" si="2"/>
        <v>-3.7800948829184167E-3</v>
      </c>
      <c r="F78" s="35">
        <v>16049.200194999999</v>
      </c>
      <c r="G78" s="37">
        <f t="shared" si="3"/>
        <v>-1.0566774233481513E-2</v>
      </c>
      <c r="H78" s="37"/>
      <c r="I78" s="37"/>
      <c r="J78" s="37"/>
    </row>
    <row r="79" spans="2:10" x14ac:dyDescent="0.3">
      <c r="B79" s="39">
        <v>44760</v>
      </c>
      <c r="C79" s="35">
        <v>3963.4</v>
      </c>
      <c r="D79" s="37">
        <f t="shared" si="2"/>
        <v>9.3205663644697623E-3</v>
      </c>
      <c r="F79" s="35">
        <v>16719.449218999998</v>
      </c>
      <c r="G79" s="37">
        <f t="shared" si="3"/>
        <v>4.1762144895470144E-2</v>
      </c>
      <c r="H79" s="37"/>
      <c r="I79" s="37"/>
      <c r="J79" s="37"/>
    </row>
    <row r="80" spans="2:10" x14ac:dyDescent="0.3">
      <c r="B80" s="39">
        <v>44767</v>
      </c>
      <c r="C80" s="35">
        <v>4243.8500000000004</v>
      </c>
      <c r="D80" s="37">
        <f t="shared" si="2"/>
        <v>7.0759953575213252E-2</v>
      </c>
      <c r="F80" s="35">
        <v>17158.25</v>
      </c>
      <c r="G80" s="37">
        <f t="shared" si="3"/>
        <v>2.6244930395275645E-2</v>
      </c>
      <c r="H80" s="37"/>
      <c r="I80" s="37"/>
      <c r="J80" s="37"/>
    </row>
    <row r="81" spans="2:10" x14ac:dyDescent="0.3">
      <c r="B81" s="39">
        <v>44774</v>
      </c>
      <c r="C81" s="35">
        <v>4232.25</v>
      </c>
      <c r="D81" s="37">
        <f t="shared" si="2"/>
        <v>-2.7333671076971156E-3</v>
      </c>
      <c r="F81" s="35">
        <v>17397.5</v>
      </c>
      <c r="G81" s="37">
        <f t="shared" si="3"/>
        <v>1.3943729692713402E-2</v>
      </c>
      <c r="H81" s="37"/>
      <c r="I81" s="37"/>
      <c r="J81" s="37"/>
    </row>
    <row r="82" spans="2:10" x14ac:dyDescent="0.3">
      <c r="B82" s="39">
        <v>44781</v>
      </c>
      <c r="C82" s="35">
        <v>4336.7</v>
      </c>
      <c r="D82" s="37">
        <f t="shared" si="2"/>
        <v>2.4679543977789598E-2</v>
      </c>
      <c r="F82" s="35">
        <v>17698.150390999999</v>
      </c>
      <c r="G82" s="37">
        <f t="shared" si="3"/>
        <v>1.7281241040379314E-2</v>
      </c>
      <c r="H82" s="37"/>
      <c r="I82" s="37"/>
      <c r="J82" s="37"/>
    </row>
    <row r="83" spans="2:10" x14ac:dyDescent="0.3">
      <c r="B83" s="39">
        <v>44788</v>
      </c>
      <c r="C83" s="35">
        <v>4382</v>
      </c>
      <c r="D83" s="37">
        <f t="shared" si="2"/>
        <v>1.0445730624668581E-2</v>
      </c>
      <c r="F83" s="35">
        <v>17758.449218999998</v>
      </c>
      <c r="G83" s="37">
        <f t="shared" si="3"/>
        <v>3.4070694771959342E-3</v>
      </c>
      <c r="H83" s="37"/>
      <c r="I83" s="37"/>
      <c r="J83" s="37"/>
    </row>
    <row r="84" spans="2:10" x14ac:dyDescent="0.3">
      <c r="B84" s="39">
        <v>44795</v>
      </c>
      <c r="C84" s="35">
        <v>4409.6499999999996</v>
      </c>
      <c r="D84" s="37">
        <f t="shared" si="2"/>
        <v>6.3099041533545286E-3</v>
      </c>
      <c r="F84" s="35">
        <v>17558.900390999999</v>
      </c>
      <c r="G84" s="37">
        <f t="shared" si="3"/>
        <v>-1.1236838619134604E-2</v>
      </c>
      <c r="H84" s="37"/>
      <c r="I84" s="37"/>
      <c r="J84" s="37"/>
    </row>
    <row r="85" spans="2:10" x14ac:dyDescent="0.3">
      <c r="B85" s="39">
        <v>44802</v>
      </c>
      <c r="C85" s="35">
        <v>4576.8</v>
      </c>
      <c r="D85" s="37">
        <f t="shared" si="2"/>
        <v>3.790550270429649E-2</v>
      </c>
      <c r="F85" s="35">
        <v>17539.449218999998</v>
      </c>
      <c r="G85" s="37">
        <f t="shared" si="3"/>
        <v>-1.1077670905844661E-3</v>
      </c>
      <c r="H85" s="37"/>
      <c r="I85" s="37"/>
      <c r="J85" s="37"/>
    </row>
    <row r="86" spans="2:10" x14ac:dyDescent="0.3">
      <c r="B86" s="39">
        <v>44809</v>
      </c>
      <c r="C86" s="35">
        <v>4386.1000000000004</v>
      </c>
      <c r="D86" s="37">
        <f t="shared" si="2"/>
        <v>-4.166666666666663E-2</v>
      </c>
      <c r="F86" s="35">
        <v>17833.349609000001</v>
      </c>
      <c r="G86" s="37">
        <f t="shared" si="3"/>
        <v>1.6756534730955508E-2</v>
      </c>
      <c r="H86" s="37"/>
      <c r="I86" s="37"/>
      <c r="J86" s="37"/>
    </row>
    <row r="87" spans="2:10" x14ac:dyDescent="0.3">
      <c r="B87" s="39">
        <v>44816</v>
      </c>
      <c r="C87" s="35">
        <v>4327.55</v>
      </c>
      <c r="D87" s="37">
        <f t="shared" si="2"/>
        <v>-1.334898885114344E-2</v>
      </c>
      <c r="F87" s="35">
        <v>17530.849609000001</v>
      </c>
      <c r="G87" s="37">
        <f t="shared" si="3"/>
        <v>-1.6962601341440453E-2</v>
      </c>
      <c r="H87" s="37"/>
      <c r="I87" s="37"/>
      <c r="J87" s="37"/>
    </row>
    <row r="88" spans="2:10" x14ac:dyDescent="0.3">
      <c r="B88" s="39">
        <v>44823</v>
      </c>
      <c r="C88" s="35">
        <v>4367</v>
      </c>
      <c r="D88" s="37">
        <f t="shared" si="2"/>
        <v>9.1160125244076351E-3</v>
      </c>
      <c r="F88" s="35">
        <v>17327.349609000001</v>
      </c>
      <c r="G88" s="37">
        <f t="shared" si="3"/>
        <v>-1.1608108251383698E-2</v>
      </c>
      <c r="H88" s="37"/>
      <c r="I88" s="37"/>
      <c r="J88" s="37"/>
    </row>
    <row r="89" spans="2:10" x14ac:dyDescent="0.3">
      <c r="B89" s="39">
        <v>44830</v>
      </c>
      <c r="C89" s="35">
        <v>4386.55</v>
      </c>
      <c r="D89" s="37">
        <f t="shared" si="2"/>
        <v>4.4767574994275527E-3</v>
      </c>
      <c r="F89" s="35">
        <v>17094.349609000001</v>
      </c>
      <c r="G89" s="37">
        <f t="shared" si="3"/>
        <v>-1.3446949779265527E-2</v>
      </c>
      <c r="H89" s="37"/>
      <c r="I89" s="37"/>
      <c r="J89" s="37"/>
    </row>
    <row r="90" spans="2:10" x14ac:dyDescent="0.3">
      <c r="B90" s="39">
        <v>44837</v>
      </c>
      <c r="C90" s="35">
        <v>4471.45</v>
      </c>
      <c r="D90" s="37">
        <f t="shared" si="2"/>
        <v>1.9354618093946119E-2</v>
      </c>
      <c r="F90" s="35">
        <v>17314.650390999999</v>
      </c>
      <c r="G90" s="37">
        <f t="shared" si="3"/>
        <v>1.2887345060733635E-2</v>
      </c>
      <c r="H90" s="37"/>
      <c r="I90" s="37"/>
      <c r="J90" s="37"/>
    </row>
    <row r="91" spans="2:10" x14ac:dyDescent="0.3">
      <c r="B91" s="39">
        <v>44844</v>
      </c>
      <c r="C91" s="35">
        <v>4306.1499999999996</v>
      </c>
      <c r="D91" s="37">
        <f t="shared" si="2"/>
        <v>-3.6967873955875641E-2</v>
      </c>
      <c r="F91" s="35">
        <v>17185.699218999998</v>
      </c>
      <c r="G91" s="37">
        <f t="shared" si="3"/>
        <v>-7.4475180894804094E-3</v>
      </c>
      <c r="H91" s="37"/>
      <c r="I91" s="37"/>
      <c r="J91" s="37"/>
    </row>
    <row r="92" spans="2:10" x14ac:dyDescent="0.3">
      <c r="B92" s="39">
        <v>44851</v>
      </c>
      <c r="C92" s="35">
        <v>4215.55</v>
      </c>
      <c r="D92" s="37">
        <f t="shared" si="2"/>
        <v>-2.1039675812500547E-2</v>
      </c>
      <c r="F92" s="35">
        <v>17576.300781000002</v>
      </c>
      <c r="G92" s="37">
        <f t="shared" si="3"/>
        <v>2.2728290366455628E-2</v>
      </c>
      <c r="H92" s="37"/>
      <c r="I92" s="37"/>
      <c r="J92" s="37"/>
    </row>
    <row r="93" spans="2:10" x14ac:dyDescent="0.3">
      <c r="B93" s="39">
        <v>44858</v>
      </c>
      <c r="C93" s="35">
        <v>4307.3500000000004</v>
      </c>
      <c r="D93" s="37">
        <f t="shared" si="2"/>
        <v>2.1776517892090119E-2</v>
      </c>
      <c r="F93" s="35">
        <v>17786.800781000002</v>
      </c>
      <c r="G93" s="37">
        <f t="shared" si="3"/>
        <v>1.197635399068453E-2</v>
      </c>
      <c r="H93" s="37"/>
      <c r="I93" s="37"/>
      <c r="J93" s="37"/>
    </row>
    <row r="94" spans="2:10" x14ac:dyDescent="0.3">
      <c r="B94" s="39">
        <v>44865</v>
      </c>
      <c r="C94" s="35">
        <v>4167.3500000000004</v>
      </c>
      <c r="D94" s="37">
        <f t="shared" si="2"/>
        <v>-3.250258279452567E-2</v>
      </c>
      <c r="F94" s="35">
        <v>18117.150390999999</v>
      </c>
      <c r="G94" s="37">
        <f t="shared" si="3"/>
        <v>1.8572739081492262E-2</v>
      </c>
      <c r="H94" s="37"/>
      <c r="I94" s="37"/>
      <c r="J94" s="37"/>
    </row>
    <row r="95" spans="2:10" x14ac:dyDescent="0.3">
      <c r="B95" s="39">
        <v>44872</v>
      </c>
      <c r="C95" s="35">
        <v>4128.3500000000004</v>
      </c>
      <c r="D95" s="37">
        <f t="shared" si="2"/>
        <v>-9.3584652117052469E-3</v>
      </c>
      <c r="F95" s="35">
        <v>18349.699218999998</v>
      </c>
      <c r="G95" s="37">
        <f t="shared" si="3"/>
        <v>1.2835839134808014E-2</v>
      </c>
      <c r="H95" s="37"/>
      <c r="I95" s="37"/>
      <c r="J95" s="37"/>
    </row>
    <row r="96" spans="2:10" x14ac:dyDescent="0.3">
      <c r="B96" s="39">
        <v>44879</v>
      </c>
      <c r="C96" s="35">
        <v>3910.6</v>
      </c>
      <c r="D96" s="37">
        <f t="shared" si="2"/>
        <v>-5.2745043419283877E-2</v>
      </c>
      <c r="F96" s="35">
        <v>18307.650390999999</v>
      </c>
      <c r="G96" s="37">
        <f t="shared" si="3"/>
        <v>-2.2915268254892762E-3</v>
      </c>
      <c r="H96" s="37"/>
      <c r="I96" s="37"/>
      <c r="J96" s="37"/>
    </row>
    <row r="97" spans="2:10" x14ac:dyDescent="0.3">
      <c r="B97" s="39">
        <v>44886</v>
      </c>
      <c r="C97" s="35">
        <v>3904.45</v>
      </c>
      <c r="D97" s="37">
        <f t="shared" si="2"/>
        <v>-1.5726486984094512E-3</v>
      </c>
      <c r="F97" s="35">
        <v>18512.75</v>
      </c>
      <c r="G97" s="37">
        <f t="shared" si="3"/>
        <v>1.1202945469224623E-2</v>
      </c>
      <c r="H97" s="37"/>
      <c r="I97" s="37"/>
      <c r="J97" s="37"/>
    </row>
    <row r="98" spans="2:10" x14ac:dyDescent="0.3">
      <c r="B98" s="39">
        <v>44893</v>
      </c>
      <c r="C98" s="35">
        <v>4005.75</v>
      </c>
      <c r="D98" s="37">
        <f t="shared" si="2"/>
        <v>2.5944755343262127E-2</v>
      </c>
      <c r="F98" s="35">
        <v>18696.099609000001</v>
      </c>
      <c r="G98" s="37">
        <f t="shared" si="3"/>
        <v>9.9039639707769744E-3</v>
      </c>
      <c r="H98" s="37"/>
      <c r="I98" s="37"/>
      <c r="J98" s="37"/>
    </row>
    <row r="99" spans="2:10" x14ac:dyDescent="0.3">
      <c r="B99" s="39">
        <v>44900</v>
      </c>
      <c r="C99" s="35">
        <v>4002.4</v>
      </c>
      <c r="D99" s="37">
        <f t="shared" si="2"/>
        <v>-8.3629782188099355E-4</v>
      </c>
      <c r="F99" s="35">
        <v>18496.599609000001</v>
      </c>
      <c r="G99" s="37">
        <f t="shared" si="3"/>
        <v>-1.0670674855838058E-2</v>
      </c>
      <c r="H99" s="37"/>
      <c r="I99" s="37"/>
      <c r="J99" s="37"/>
    </row>
    <row r="100" spans="2:10" x14ac:dyDescent="0.3">
      <c r="B100" s="39">
        <v>44907</v>
      </c>
      <c r="C100" s="35">
        <v>3990</v>
      </c>
      <c r="D100" s="37">
        <f t="shared" si="2"/>
        <v>-3.0981411153307992E-3</v>
      </c>
      <c r="F100" s="35">
        <v>18269</v>
      </c>
      <c r="G100" s="37">
        <f t="shared" si="3"/>
        <v>-1.2304943276668867E-2</v>
      </c>
      <c r="H100" s="37"/>
      <c r="I100" s="37"/>
      <c r="J100" s="37"/>
    </row>
    <row r="101" spans="2:10" x14ac:dyDescent="0.3">
      <c r="B101" s="39">
        <v>44914</v>
      </c>
      <c r="C101" s="35">
        <v>3875.6</v>
      </c>
      <c r="D101" s="37">
        <f t="shared" si="2"/>
        <v>-2.8671679197994959E-2</v>
      </c>
      <c r="F101" s="35">
        <v>17806.800781000002</v>
      </c>
      <c r="G101" s="37">
        <f t="shared" si="3"/>
        <v>-2.529964524604511E-2</v>
      </c>
      <c r="H101" s="37"/>
      <c r="I101" s="37"/>
      <c r="J101" s="37"/>
    </row>
    <row r="102" spans="2:10" x14ac:dyDescent="0.3">
      <c r="B102" s="39">
        <v>44921</v>
      </c>
      <c r="C102" s="35">
        <v>4068.75</v>
      </c>
      <c r="D102" s="37">
        <f t="shared" si="2"/>
        <v>4.9837444524718721E-2</v>
      </c>
      <c r="F102" s="35">
        <v>18105.300781000002</v>
      </c>
      <c r="G102" s="37">
        <f t="shared" si="3"/>
        <v>1.6763258244484991E-2</v>
      </c>
      <c r="H102" s="37"/>
      <c r="I102" s="37"/>
      <c r="J102" s="37"/>
    </row>
    <row r="103" spans="2:10" x14ac:dyDescent="0.3">
      <c r="B103" s="39">
        <v>44928</v>
      </c>
      <c r="C103" s="35">
        <v>3842.5</v>
      </c>
      <c r="D103" s="37">
        <f t="shared" si="2"/>
        <v>-5.5606758832565273E-2</v>
      </c>
      <c r="F103" s="35">
        <v>17859.449218999998</v>
      </c>
      <c r="G103" s="37">
        <f t="shared" si="3"/>
        <v>-1.3578982474458767E-2</v>
      </c>
      <c r="H103" s="37"/>
      <c r="I103" s="37"/>
      <c r="J103" s="37"/>
    </row>
    <row r="104" spans="2:10" x14ac:dyDescent="0.3">
      <c r="B104" s="39">
        <v>44935</v>
      </c>
      <c r="C104" s="35">
        <v>3863.7</v>
      </c>
      <c r="D104" s="37">
        <f t="shared" si="2"/>
        <v>5.5172413793103114E-3</v>
      </c>
      <c r="F104" s="35">
        <v>17956.599609000001</v>
      </c>
      <c r="G104" s="37">
        <f t="shared" si="3"/>
        <v>5.4397192661825855E-3</v>
      </c>
      <c r="H104" s="37"/>
      <c r="I104" s="37"/>
      <c r="J104" s="37"/>
    </row>
    <row r="105" spans="2:10" x14ac:dyDescent="0.3">
      <c r="B105" s="39">
        <v>44942</v>
      </c>
      <c r="C105" s="35">
        <v>3513.75</v>
      </c>
      <c r="D105" s="37">
        <f t="shared" si="2"/>
        <v>-9.0573802313844154E-2</v>
      </c>
      <c r="F105" s="35">
        <v>18027.650390999999</v>
      </c>
      <c r="G105" s="37">
        <f t="shared" si="3"/>
        <v>3.9568060516528281E-3</v>
      </c>
      <c r="H105" s="37"/>
      <c r="I105" s="37"/>
      <c r="J105" s="37"/>
    </row>
    <row r="106" spans="2:10" x14ac:dyDescent="0.3">
      <c r="B106" s="39">
        <v>44949</v>
      </c>
      <c r="C106" s="35">
        <v>3562.35</v>
      </c>
      <c r="D106" s="37">
        <f t="shared" si="2"/>
        <v>1.3831376734258161E-2</v>
      </c>
      <c r="F106" s="35">
        <v>17604.349609000001</v>
      </c>
      <c r="G106" s="37">
        <f t="shared" si="3"/>
        <v>-2.3480640727941093E-2</v>
      </c>
      <c r="H106" s="37"/>
      <c r="I106" s="37"/>
      <c r="J106" s="37"/>
    </row>
    <row r="107" spans="2:10" x14ac:dyDescent="0.3">
      <c r="B107" s="39">
        <v>44956</v>
      </c>
      <c r="C107" s="35">
        <v>3470.35</v>
      </c>
      <c r="D107" s="37">
        <f t="shared" si="2"/>
        <v>-2.5825648799247647E-2</v>
      </c>
      <c r="F107" s="35">
        <v>17854.050781000002</v>
      </c>
      <c r="G107" s="37">
        <f t="shared" si="3"/>
        <v>1.4184061186352848E-2</v>
      </c>
      <c r="H107" s="37"/>
      <c r="I107" s="37"/>
      <c r="J107" s="37"/>
    </row>
    <row r="108" spans="2:10" x14ac:dyDescent="0.3">
      <c r="B108" s="39">
        <v>44963</v>
      </c>
      <c r="C108" s="35">
        <v>3498.85</v>
      </c>
      <c r="D108" s="37">
        <f t="shared" si="2"/>
        <v>8.2124281412536693E-3</v>
      </c>
      <c r="F108" s="35">
        <v>17856.5</v>
      </c>
      <c r="G108" s="37">
        <f t="shared" si="3"/>
        <v>1.371800175793414E-4</v>
      </c>
      <c r="H108" s="37"/>
      <c r="I108" s="37"/>
      <c r="J108" s="37"/>
    </row>
    <row r="109" spans="2:10" x14ac:dyDescent="0.3">
      <c r="B109" s="39">
        <v>44970</v>
      </c>
      <c r="C109" s="35">
        <v>3545</v>
      </c>
      <c r="D109" s="37">
        <f t="shared" si="2"/>
        <v>1.3190048158680634E-2</v>
      </c>
      <c r="F109" s="35">
        <v>17944.199218999998</v>
      </c>
      <c r="G109" s="37">
        <f t="shared" si="3"/>
        <v>4.9113330719905424E-3</v>
      </c>
      <c r="H109" s="37"/>
      <c r="I109" s="37"/>
      <c r="J109" s="37"/>
    </row>
    <row r="110" spans="2:10" x14ac:dyDescent="0.3">
      <c r="B110" s="39">
        <v>44977</v>
      </c>
      <c r="C110" s="35">
        <v>3525.6</v>
      </c>
      <c r="D110" s="37">
        <f t="shared" si="2"/>
        <v>-5.4724964739069071E-3</v>
      </c>
      <c r="F110" s="35">
        <v>17826.699218999998</v>
      </c>
      <c r="G110" s="37">
        <f t="shared" si="3"/>
        <v>-6.5480771009043259E-3</v>
      </c>
      <c r="H110" s="37"/>
      <c r="I110" s="37"/>
      <c r="J110" s="37"/>
    </row>
    <row r="111" spans="2:10" x14ac:dyDescent="0.3">
      <c r="I111" s="37"/>
      <c r="J111" s="37"/>
    </row>
  </sheetData>
  <sortState xmlns:xlrd2="http://schemas.microsoft.com/office/spreadsheetml/2017/richdata2" ref="B6:C110">
    <sortCondition ref="B6:B110"/>
  </sortState>
  <mergeCells count="2">
    <mergeCell ref="B4:D4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DCF&gt;</vt:lpstr>
      <vt:lpstr>WACC</vt:lpstr>
      <vt:lpstr>Intrisic Growth </vt:lpstr>
      <vt:lpstr>Caseflow Statement </vt:lpstr>
      <vt:lpstr>Data room</vt:lpstr>
      <vt:lpstr>HistoricalFS &gt;</vt:lpstr>
      <vt:lpstr>Data&gt;</vt:lpstr>
      <vt:lpstr>Data Sheet</vt:lpstr>
      <vt:lpstr>Beta Regression </vt:lpstr>
      <vt:lpstr>Beta -Comps</vt:lpstr>
      <vt:lpstr>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yashdeep modi</dc:creator>
  <cp:lastModifiedBy>Yashdeep Modi</cp:lastModifiedBy>
  <cp:lastPrinted>2023-06-13T11:50:59Z</cp:lastPrinted>
  <dcterms:created xsi:type="dcterms:W3CDTF">2023-06-11T09:43:16Z</dcterms:created>
  <dcterms:modified xsi:type="dcterms:W3CDTF">2023-12-18T12:11:53Z</dcterms:modified>
</cp:coreProperties>
</file>