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week2/"/>
    </mc:Choice>
  </mc:AlternateContent>
  <xr:revisionPtr revIDLastSave="0" documentId="13_ncr:1_{68E82AA6-36FF-E445-8932-7FEF370FEB1F}" xr6:coauthVersionLast="36" xr6:coauthVersionMax="36" xr10:uidLastSave="{00000000-0000-0000-0000-000000000000}"/>
  <bookViews>
    <workbookView xWindow="0" yWindow="500" windowWidth="33600" windowHeight="19040" activeTab="2" xr2:uid="{E93522CD-A16F-944B-B80D-1F57AE0445AA}"/>
  </bookViews>
  <sheets>
    <sheet name="1 Match Analysis" sheetId="1" r:id="rId1"/>
    <sheet name="2 Reading updates" sheetId="2" r:id="rId2"/>
    <sheet name="3 Community updates" sheetId="3" r:id="rId3"/>
    <sheet name="4 Working hours" sheetId="4" r:id="rId4"/>
    <sheet name="5 Self-learning" sheetId="5" r:id="rId5"/>
    <sheet name="6 Getting Involved" sheetId="6" r:id="rId6"/>
    <sheet name="Notes" sheetId="1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L7" i="2"/>
  <c r="J7" i="2"/>
  <c r="J35" i="2"/>
  <c r="K35" i="2"/>
  <c r="I35" i="2"/>
  <c r="H40" i="2"/>
  <c r="H39" i="2"/>
  <c r="H38" i="2"/>
  <c r="G41" i="2"/>
  <c r="J28" i="1"/>
  <c r="J29" i="1"/>
  <c r="J30" i="1"/>
  <c r="J31" i="1"/>
  <c r="J32" i="1"/>
  <c r="J33" i="1"/>
  <c r="J34" i="1"/>
  <c r="J35" i="1"/>
  <c r="J36" i="1"/>
  <c r="J27" i="1"/>
  <c r="O30" i="2" l="1"/>
  <c r="N30" i="2"/>
  <c r="P19" i="2"/>
  <c r="P23" i="2"/>
  <c r="P18" i="2"/>
  <c r="K15" i="2"/>
  <c r="M16" i="2"/>
  <c r="L15" i="2"/>
  <c r="J31" i="2"/>
  <c r="K31" i="2"/>
  <c r="I31" i="2"/>
  <c r="L5" i="2"/>
  <c r="K5" i="2"/>
  <c r="J5" i="2"/>
  <c r="P22" i="2" l="1"/>
  <c r="M5" i="2"/>
  <c r="K6" i="2" s="1"/>
  <c r="J6" i="2" l="1"/>
  <c r="E12" i="2" s="1"/>
  <c r="F17" i="2" s="1"/>
  <c r="L6" i="2"/>
  <c r="E13" i="2" s="1"/>
  <c r="G12" i="2" l="1"/>
  <c r="D22" i="2" s="1"/>
  <c r="M6" i="2"/>
</calcChain>
</file>

<file path=xl/sharedStrings.xml><?xml version="1.0" encoding="utf-8"?>
<sst xmlns="http://schemas.openxmlformats.org/spreadsheetml/2006/main" count="196" uniqueCount="184">
  <si>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</si>
  <si>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</si>
  <si>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</si>
  <si>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</si>
  <si>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</si>
  <si>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</si>
  <si>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Soccermatics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</si>
  <si>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</si>
  <si>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</si>
  <si>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</si>
  <si>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</si>
  <si>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</si>
  <si>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</si>
  <si>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</si>
  <si>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</si>
  <si>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</si>
  <si>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</si>
  <si>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</si>
  <si>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</si>
  <si>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</si>
  <si>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</si>
  <si>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</si>
  <si>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</si>
  <si>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</si>
  <si>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</si>
  <si>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</si>
  <si>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</si>
  <si>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</si>
  <si>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</si>
  <si>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Week2 at CT</t>
  </si>
  <si>
    <t>Multi-arm bandits</t>
  </si>
  <si>
    <t>Monte Carlo Simulations</t>
  </si>
  <si>
    <t>car pricing</t>
  </si>
  <si>
    <t>Ideas</t>
  </si>
  <si>
    <t>when to bet, on whom and how much?</t>
  </si>
  <si>
    <t>p &gt; 1/o; used to assess if it's reasonable odds for betting</t>
  </si>
  <si>
    <t>european odds vs uk odds</t>
  </si>
  <si>
    <t>look at real-time decision-based touchpoints
coach, formation tweaks, form, injuries, starting xi, tempo</t>
  </si>
  <si>
    <t>how to adjust odds (win/draw/lose) so that they add up to 100%</t>
  </si>
  <si>
    <t>https://twitter.com/MezzalaFtbl</t>
  </si>
  <si>
    <t>Mezzala Football</t>
  </si>
  <si>
    <t>MVT</t>
  </si>
  <si>
    <t>Broker</t>
  </si>
  <si>
    <t>UM</t>
  </si>
  <si>
    <t>ROPE</t>
  </si>
  <si>
    <t>Pricing</t>
  </si>
  <si>
    <t>SORT</t>
  </si>
  <si>
    <r>
      <rPr>
        <b/>
        <sz val="12"/>
        <color theme="1"/>
        <rFont val="Calibri"/>
        <family val="2"/>
        <scheme val="minor"/>
      </rPr>
      <t>Credits for screen grabs:</t>
    </r>
    <r>
      <rPr>
        <sz val="12"/>
        <color theme="1"/>
        <rFont val="Calibri"/>
        <family val="2"/>
        <scheme val="minor"/>
      </rPr>
      <t xml:space="preserve"> </t>
    </r>
  </si>
  <si>
    <t>Rudiger puts in with his back from a well-attacked corner</t>
  </si>
  <si>
    <t>Werner-Lukaku link-up play</t>
  </si>
  <si>
    <t>CHO-Werner interchanging; Sarr overlapping; Mount free roam as RW/CAM/CF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</si>
  <si>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</si>
  <si>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</si>
  <si>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</si>
  <si>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</si>
  <si>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Questions</t>
  </si>
  <si>
    <t>What were the odds before kick-off? v/s the true probabilities?</t>
  </si>
  <si>
    <t>Could we have made a bet? If yes on what result? And using what strategy?</t>
  </si>
  <si>
    <t>Expected threat map</t>
  </si>
  <si>
    <t>12-shots each - simulations</t>
  </si>
  <si>
    <t>OddsPortal pre-match odds</t>
  </si>
  <si>
    <t>CHE</t>
  </si>
  <si>
    <t>DRAW</t>
  </si>
  <si>
    <t>odds</t>
  </si>
  <si>
    <t>corrected</t>
  </si>
  <si>
    <t>high pressure even in the 90' stoppage time</t>
  </si>
  <si>
    <t>creativity and inventive play lacking in the final third; look at chances created, xA stats</t>
  </si>
  <si>
    <t>2 VAR penalties over-ruled; 1 offside goal disallowed - Harry Kane hattrick and Andre Mariner losing friends on the night</t>
  </si>
  <si>
    <t>Data</t>
  </si>
  <si>
    <t>Superset user logging analysis</t>
  </si>
  <si>
    <t>Athletics Tactics podcast</t>
  </si>
  <si>
    <t>* City unstoppable already, 12 different goal scorers with 2+ goals</t>
  </si>
  <si>
    <t>* Liverpool v Chelsea best 1st half; Chelsea tactics and Chalobah/LWB/ST problems</t>
  </si>
  <si>
    <t>* Arsenal passing sequences -&gt; shots/goals</t>
  </si>
  <si>
    <t>* Man United -&gt; Ralf Rangnick looking at PPDA</t>
  </si>
  <si>
    <t>* 4-way relegation battle with {Burnley, Watford, Newcastle, Norwich}</t>
  </si>
  <si>
    <t>Manually add shots on the pitch and plot using R</t>
  </si>
  <si>
    <t>Poisson Simulation notebook</t>
  </si>
  <si>
    <t>https://theanalyst.com/eu/careers/</t>
  </si>
  <si>
    <t>Tuchel has never lost a cup semi-final!</t>
  </si>
  <si>
    <t>Dominant Rudiger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</si>
  <si>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; </t>
    </r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 3-5-2/5-3-2 while defending and 4-2-2-2/4-2-4 while on the offence</t>
    </r>
  </si>
  <si>
    <t>Spurs - 0 VAR - 3 Che - 1</t>
  </si>
  <si>
    <t>"Put my money where my mouth is"</t>
  </si>
  <si>
    <t>how betting odds are different from probabilities // bookmaker's built-in advantage</t>
  </si>
  <si>
    <t>Strategy 1 = Odds-bias strategy</t>
  </si>
  <si>
    <t>p = p(home_win)</t>
  </si>
  <si>
    <t>q = p(away_win)</t>
  </si>
  <si>
    <t>0.355 - 0.25 |p - q|</t>
  </si>
  <si>
    <t>b) if |p - q| &lt; 0.15 then the probability of draw is:</t>
  </si>
  <si>
    <t>Strategy 2 = Ranking Indexes</t>
  </si>
  <si>
    <t>MCI</t>
  </si>
  <si>
    <t>p</t>
  </si>
  <si>
    <t>q</t>
  </si>
  <si>
    <t>∴ |p - q|</t>
  </si>
  <si>
    <t>substituting the value of |p - q| from above we get</t>
  </si>
  <si>
    <t>c) anything else: no bet is to be placed</t>
  </si>
  <si>
    <t xml:space="preserve">a) Euro Club Index </t>
  </si>
  <si>
    <t>https://www.euroclubindex.com/match-odds/</t>
  </si>
  <si>
    <t>b) FiveThirtyEighty predictions</t>
  </si>
  <si>
    <t>https://projects.fivethirtyeight.com/soccer-predictions/premier-league/</t>
  </si>
  <si>
    <t>averaging the 2 indexes we get the above</t>
  </si>
  <si>
    <t>Questions:</t>
  </si>
  <si>
    <t>Strategy 3 = Performance indicators</t>
  </si>
  <si>
    <t xml:space="preserve">number of home goals is given by </t>
  </si>
  <si>
    <t>for this match the variables are as follows:</t>
  </si>
  <si>
    <t>r</t>
  </si>
  <si>
    <t>h</t>
  </si>
  <si>
    <t>g</t>
  </si>
  <si>
    <t>b</t>
  </si>
  <si>
    <t>home_xGA</t>
  </si>
  <si>
    <t xml:space="preserve">number of away goals is given by </t>
  </si>
  <si>
    <t>n</t>
  </si>
  <si>
    <t>/90 stats</t>
  </si>
  <si>
    <t>xGA / 90 for home team</t>
  </si>
  <si>
    <t>as away team is a big 6 club</t>
  </si>
  <si>
    <t>completed passes / min</t>
  </si>
  <si>
    <t>passing_rate</t>
  </si>
  <si>
    <t>/min stats</t>
  </si>
  <si>
    <t>need to factor in some opposition defensive credentials</t>
  </si>
  <si>
    <t>expected away goals</t>
  </si>
  <si>
    <t>expected home goals</t>
  </si>
  <si>
    <t>home_npxG</t>
  </si>
  <si>
    <r>
      <t xml:space="preserve">xG / 90 for home team </t>
    </r>
    <r>
      <rPr>
        <sz val="12"/>
        <color rgb="FFFF0000"/>
        <rFont val="Calibri (Body)_x0000_"/>
      </rPr>
      <t>(*scaled down as npxG &gt; 2)</t>
    </r>
  </si>
  <si>
    <t>Strategy 4 = Expert predictions (Squawka)</t>
  </si>
  <si>
    <t>https://www.squawka.com/en/bet/chelsea-vs-manchester-city/</t>
  </si>
  <si>
    <t>home_goals</t>
  </si>
  <si>
    <t>away_goals</t>
  </si>
  <si>
    <t>adjusted to rescale over and under predictions</t>
  </si>
  <si>
    <t>“The hallmark of successful people is that they are always stretching themselves to learn new things.” - Carol Dweck</t>
  </si>
  <si>
    <t>Transfers roundup, Lucas Digne</t>
  </si>
  <si>
    <t>Pizza Charts for players/teams</t>
  </si>
  <si>
    <t>a) if |p-q| &gt; 0.4 then the probability of home team winning is:</t>
  </si>
  <si>
    <t>News/Narrative</t>
  </si>
  <si>
    <t>Tuchel response to Lukaku Sky Italia interview fiasco: "If you put a little bit of work in, in our systems, you find not a lot of systemic changes, if you find any"</t>
  </si>
  <si>
    <t>Research Paper</t>
  </si>
  <si>
    <t>3 variations of the 3 at the back: 3-4-2-1, 3-4-1-2, 3-5-2</t>
  </si>
  <si>
    <t>why is Tuchel needing to experiment?</t>
  </si>
  <si>
    <t>4 draws in last 5 PL matches suggest lack of creativity</t>
  </si>
  <si>
    <t>injuries to Ben Chilwell and Reece James</t>
  </si>
  <si>
    <t>this potentially comes with a tradeoff of having to let go solidarity at the back and being susceptible to counter attacks</t>
  </si>
  <si>
    <t xml:space="preserve">field tilt </t>
  </si>
  <si>
    <t>Super Frank</t>
  </si>
  <si>
    <t>possession</t>
  </si>
  <si>
    <t>long pass share</t>
  </si>
  <si>
    <t>shots</t>
  </si>
  <si>
    <t>xG per shot</t>
  </si>
  <si>
    <t>xG per shot conceded</t>
  </si>
  <si>
    <t>direct attacks</t>
  </si>
  <si>
    <t>ppda</t>
  </si>
  <si>
    <t>shots conceded</t>
  </si>
  <si>
    <t>comparing key stats from Lampard's final 19 matches vs Tuchel's 21 matches in the PL this season:</t>
  </si>
  <si>
    <t>Tuchel</t>
  </si>
  <si>
    <t>% diff = (this - last) / last</t>
  </si>
  <si>
    <t>similar</t>
  </si>
  <si>
    <t>verdict</t>
  </si>
  <si>
    <t>4-2-2-2/4-2-4 on display with Havertz and Werner quite ably partenering Lukaku up front</t>
  </si>
  <si>
    <t>attack speed (m/s)</t>
  </si>
  <si>
    <t>maximising Lukaku's strengths (striking partnership to divide attention of defenders in central areas) =&gt;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</si>
  <si>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</si>
  <si>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</si>
  <si>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</si>
  <si>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 xml:space="preserve">4) Player and Coach (playing style) </t>
    </r>
    <r>
      <rPr>
        <sz val="12"/>
        <color rgb="FF00B050"/>
        <rFont val="Calibri (Body)_x0000_"/>
      </rPr>
      <t>clustering using UMAP, GMM, DBSCAN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</si>
  <si>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</si>
  <si>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</si>
  <si>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</si>
  <si>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KU Leuven</t>
  </si>
  <si>
    <t>https://www.kuleuven.be/english/research/</t>
  </si>
  <si>
    <t>Other blogs/articles</t>
  </si>
  <si>
    <t>https://janvanhaaren.be/2021/12/30/soccer-analytics-review-2021.html</t>
  </si>
  <si>
    <t>https://dashee87.github.io/football/python/predicting-football-results-with-statistical-modelling/</t>
  </si>
  <si>
    <t>S2</t>
  </si>
  <si>
    <t>S3</t>
  </si>
  <si>
    <t>S4</t>
  </si>
  <si>
    <t>1/o</t>
  </si>
  <si>
    <t>averaging the probabilities from S2, S3, S4</t>
  </si>
  <si>
    <t>improvement</t>
  </si>
  <si>
    <t>https://theathletic.com/3064450/2022/01/12/premier-league-just-how-good-lucas-digne/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</si>
  <si>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</si>
  <si>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</si>
  <si>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</si>
  <si>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</si>
  <si>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</si>
  <si>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FPL personal weekly updates or milestones (wildcard, transfers, chips)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</si>
</sst>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/>
    <xf numFmtId="2" fontId="0" fillId="3" borderId="0" xfId="0" applyNumberFormat="1" applyFill="1"/>
    <xf numFmtId="0" fontId="0" fillId="0" borderId="0" xfId="0" applyFont="1"/>
    <xf numFmtId="0" fontId="3" fillId="4" borderId="0" xfId="0" applyFon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5" borderId="0" xfId="0" applyNumberFormat="1" applyFill="1"/>
    <xf numFmtId="0" fontId="7" fillId="0" borderId="0" xfId="2"/>
    <xf numFmtId="0" fontId="2" fillId="0" borderId="0" xfId="0" applyFont="1" applyFill="1"/>
    <xf numFmtId="0" fontId="8" fillId="0" borderId="0" xfId="0" applyFont="1" applyFill="1"/>
    <xf numFmtId="0" fontId="3" fillId="0" borderId="0" xfId="0" applyFont="1" applyFill="1"/>
    <xf numFmtId="10" fontId="0" fillId="0" borderId="0" xfId="0" applyNumberFormat="1"/>
    <xf numFmtId="0" fontId="0" fillId="10" borderId="0" xfId="0" applyFill="1"/>
    <xf numFmtId="2" fontId="0" fillId="10" borderId="0" xfId="0" applyNumberFormat="1" applyFill="1"/>
    <xf numFmtId="0" fontId="3" fillId="6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9" fontId="0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664632</xdr:colOff>
      <xdr:row>15</xdr:row>
      <xdr:rowOff>71967</xdr:rowOff>
    </xdr:from>
    <xdr:ext cx="1374479" cy="455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1+0.961 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−1.06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1/(1+0.961 (〖𝑝/(1−𝑝))〗^(−1.06)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251880</xdr:colOff>
      <xdr:row>11</xdr:row>
      <xdr:rowOff>21167</xdr:rowOff>
    </xdr:from>
    <xdr:ext cx="4373035" cy="2326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(−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𝟕𝟓𝟕𝟒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𝟏𝟑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𝒓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𝟕𝟔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𝒉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𝒆^((−𝟎.𝟕𝟓𝟕𝟒 + 𝟎.𝟏𝟑 ∗ 𝒓 + 𝟎.𝟕𝟔 ∗ 𝒉))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15</xdr:col>
      <xdr:colOff>377369</xdr:colOff>
      <xdr:row>13</xdr:row>
      <xdr:rowOff>37798</xdr:rowOff>
    </xdr:from>
    <xdr:ext cx="4373035" cy="2243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𝟎𝟕𝟖𝟒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𝟓𝟎𝟓𝟕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𝒈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𝟓𝟓𝟐𝟕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𝒆^((−𝟎.𝟎𝟕𝟖𝟒 + 𝟎.𝟓𝟎𝟓𝟕 ∗ 𝒈 + 𝟎.𝟓𝟓𝟐𝟕 ∗ 𝒃))</a:t>
              </a:r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2:Q36"/>
  <sheetViews>
    <sheetView zoomScale="120" zoomScaleNormal="120" workbookViewId="0">
      <selection activeCell="B7" sqref="B7"/>
    </sheetView>
  </sheetViews>
  <sheetFormatPr baseColWidth="10" defaultRowHeight="16"/>
  <cols>
    <col min="6" max="6" width="9.5" customWidth="1"/>
    <col min="7" max="7" width="19" customWidth="1"/>
    <col min="9" max="9" width="10.83203125" bestFit="1" customWidth="1"/>
    <col min="10" max="10" width="20.5" bestFit="1" customWidth="1"/>
    <col min="11" max="11" width="12.1640625" bestFit="1" customWidth="1"/>
    <col min="12" max="12" width="15.1640625" customWidth="1"/>
    <col min="14" max="14" width="13.5" bestFit="1" customWidth="1"/>
  </cols>
  <sheetData>
    <row r="2" spans="1:17">
      <c r="A2" s="1" t="s">
        <v>0</v>
      </c>
    </row>
    <row r="3" spans="1:17">
      <c r="A3" s="1"/>
      <c r="B3" t="s">
        <v>81</v>
      </c>
    </row>
    <row r="4" spans="1:17">
      <c r="A4" s="1"/>
      <c r="B4" t="s">
        <v>48</v>
      </c>
    </row>
    <row r="5" spans="1:17">
      <c r="A5" s="1"/>
      <c r="B5" s="2" t="s">
        <v>49</v>
      </c>
    </row>
    <row r="6" spans="1:17">
      <c r="A6" s="1"/>
      <c r="B6" s="2" t="s">
        <v>50</v>
      </c>
      <c r="C6" s="2"/>
      <c r="D6" s="2"/>
      <c r="E6" s="2"/>
      <c r="F6" s="2"/>
      <c r="G6" s="2"/>
      <c r="J6" s="1" t="s">
        <v>55</v>
      </c>
    </row>
    <row r="7" spans="1:17">
      <c r="A7" s="1"/>
      <c r="B7" s="9" t="s">
        <v>59</v>
      </c>
      <c r="J7" s="2" t="s">
        <v>53</v>
      </c>
    </row>
    <row r="8" spans="1:17">
      <c r="A8" s="1"/>
      <c r="B8" s="2" t="s">
        <v>65</v>
      </c>
      <c r="J8" s="2" t="s">
        <v>54</v>
      </c>
      <c r="N8" s="3"/>
    </row>
    <row r="9" spans="1:17">
      <c r="A9" s="1" t="s">
        <v>2</v>
      </c>
      <c r="N9" s="4"/>
      <c r="O9" s="4"/>
      <c r="P9" s="4"/>
      <c r="Q9" s="4"/>
    </row>
    <row r="10" spans="1:17">
      <c r="A10" s="1"/>
      <c r="B10" t="s">
        <v>23</v>
      </c>
      <c r="N10" s="3"/>
      <c r="O10" s="3"/>
      <c r="P10" s="3"/>
      <c r="Q10" s="5"/>
    </row>
    <row r="11" spans="1:17">
      <c r="B11" t="s">
        <v>58</v>
      </c>
      <c r="N11" s="3"/>
      <c r="O11" s="3"/>
      <c r="P11" s="3"/>
      <c r="Q11" s="5"/>
    </row>
    <row r="12" spans="1:17">
      <c r="A12" s="1" t="s">
        <v>1</v>
      </c>
      <c r="N12" s="3"/>
      <c r="O12" s="3"/>
      <c r="P12" s="3"/>
      <c r="Q12" s="5"/>
    </row>
    <row r="13" spans="1:17">
      <c r="A13" s="1"/>
      <c r="B13" t="s">
        <v>66</v>
      </c>
      <c r="E13" s="10"/>
      <c r="F13" s="10"/>
      <c r="G13" s="10"/>
      <c r="N13" s="3"/>
      <c r="O13" s="3"/>
      <c r="P13" s="3"/>
      <c r="Q13" s="5"/>
    </row>
    <row r="14" spans="1:17">
      <c r="A14" s="1"/>
      <c r="B14" t="s">
        <v>140</v>
      </c>
      <c r="E14" s="10"/>
      <c r="F14" s="10"/>
      <c r="G14" s="10"/>
      <c r="N14" s="3"/>
      <c r="O14" s="3"/>
      <c r="P14" s="3"/>
      <c r="Q14" s="5"/>
    </row>
    <row r="15" spans="1:17">
      <c r="A15" s="1"/>
      <c r="B15" s="10" t="s">
        <v>67</v>
      </c>
      <c r="C15" s="10"/>
      <c r="D15" s="10"/>
      <c r="E15" s="10"/>
      <c r="F15" s="10"/>
      <c r="G15" s="10"/>
      <c r="N15" s="3"/>
      <c r="O15" s="3"/>
      <c r="P15" s="3"/>
      <c r="Q15" s="5"/>
    </row>
    <row r="16" spans="1:17">
      <c r="B16" s="10"/>
      <c r="C16" s="10"/>
      <c r="D16" s="10"/>
      <c r="E16" s="10"/>
      <c r="F16" s="10"/>
      <c r="G16" s="10"/>
      <c r="N16" s="3"/>
      <c r="O16" s="3"/>
      <c r="P16" s="3"/>
      <c r="Q16" s="5"/>
    </row>
    <row r="17" spans="1:17">
      <c r="A17" s="1" t="s">
        <v>133</v>
      </c>
      <c r="B17" s="10"/>
      <c r="C17" s="10"/>
      <c r="D17" s="10"/>
      <c r="N17" s="3"/>
      <c r="O17" s="3"/>
      <c r="P17" s="3"/>
      <c r="Q17" s="5"/>
    </row>
    <row r="18" spans="1:17">
      <c r="B18" t="s">
        <v>79</v>
      </c>
      <c r="E18" s="10"/>
      <c r="F18" s="10" t="s">
        <v>134</v>
      </c>
      <c r="G18" s="10"/>
      <c r="N18" s="3"/>
      <c r="O18" s="3"/>
      <c r="P18" s="3"/>
      <c r="Q18" s="5"/>
    </row>
    <row r="19" spans="1:17">
      <c r="B19" s="10" t="s">
        <v>80</v>
      </c>
      <c r="C19" s="10"/>
      <c r="D19" s="10"/>
      <c r="E19" s="10"/>
      <c r="F19" s="10" t="s">
        <v>136</v>
      </c>
      <c r="G19" s="10"/>
    </row>
    <row r="20" spans="1:17">
      <c r="B20" s="10" t="s">
        <v>82</v>
      </c>
      <c r="C20" s="10"/>
      <c r="D20" s="10"/>
      <c r="E20" s="10"/>
      <c r="F20" s="27" t="s">
        <v>137</v>
      </c>
      <c r="G20" s="10"/>
    </row>
    <row r="21" spans="1:17">
      <c r="B21" s="10"/>
      <c r="C21" s="10"/>
      <c r="D21" s="10"/>
      <c r="E21" s="10"/>
      <c r="F21" s="10">
        <v>1</v>
      </c>
      <c r="G21" s="10" t="s">
        <v>138</v>
      </c>
    </row>
    <row r="22" spans="1:17">
      <c r="B22" s="10"/>
      <c r="C22" s="10"/>
      <c r="D22" s="10"/>
      <c r="F22">
        <v>2</v>
      </c>
      <c r="G22" t="s">
        <v>139</v>
      </c>
    </row>
    <row r="23" spans="1:17">
      <c r="F23">
        <v>3</v>
      </c>
      <c r="G23" t="s">
        <v>158</v>
      </c>
      <c r="M23" t="s">
        <v>156</v>
      </c>
    </row>
    <row r="24" spans="1:17">
      <c r="B24" t="s">
        <v>47</v>
      </c>
    </row>
    <row r="25" spans="1:17">
      <c r="F25" s="1" t="s">
        <v>151</v>
      </c>
    </row>
    <row r="26" spans="1:17">
      <c r="H26" s="4" t="s">
        <v>142</v>
      </c>
      <c r="I26" s="4" t="s">
        <v>152</v>
      </c>
      <c r="J26" s="4" t="s">
        <v>153</v>
      </c>
      <c r="K26" s="4" t="s">
        <v>155</v>
      </c>
    </row>
    <row r="27" spans="1:17">
      <c r="G27" s="31" t="s">
        <v>141</v>
      </c>
      <c r="H27" s="13">
        <v>0.56499999999999995</v>
      </c>
      <c r="I27" s="13">
        <v>0.59699999999999998</v>
      </c>
      <c r="J27" s="35">
        <f>(I27-H27)/H27</f>
        <v>5.6637168141592975E-2</v>
      </c>
      <c r="K27" s="36" t="s">
        <v>176</v>
      </c>
    </row>
    <row r="28" spans="1:17">
      <c r="G28" s="31" t="s">
        <v>143</v>
      </c>
      <c r="H28" s="13">
        <v>0.59299999999999997</v>
      </c>
      <c r="I28" s="13">
        <v>0.58799999999999997</v>
      </c>
      <c r="J28" s="35">
        <f t="shared" ref="J28:J36" si="0">(I28-H28)/H28</f>
        <v>-8.4317032040472258E-3</v>
      </c>
      <c r="K28" s="37" t="s">
        <v>154</v>
      </c>
    </row>
    <row r="29" spans="1:17">
      <c r="G29" s="31" t="s">
        <v>144</v>
      </c>
      <c r="H29" s="13">
        <v>9.4E-2</v>
      </c>
      <c r="I29" s="13">
        <v>8.5999999999999993E-2</v>
      </c>
      <c r="J29" s="35">
        <f t="shared" si="0"/>
        <v>-8.5106382978723485E-2</v>
      </c>
      <c r="K29" s="36" t="s">
        <v>176</v>
      </c>
    </row>
    <row r="30" spans="1:17">
      <c r="G30" s="32" t="s">
        <v>145</v>
      </c>
      <c r="H30" s="38">
        <v>13.8</v>
      </c>
      <c r="I30" s="38">
        <v>15.2</v>
      </c>
      <c r="J30" s="35">
        <f t="shared" si="0"/>
        <v>0.10144927536231874</v>
      </c>
      <c r="K30" s="36" t="s">
        <v>176</v>
      </c>
    </row>
    <row r="31" spans="1:17">
      <c r="G31" s="32" t="s">
        <v>146</v>
      </c>
      <c r="H31" s="39">
        <v>0.11</v>
      </c>
      <c r="I31" s="39">
        <v>0.12</v>
      </c>
      <c r="J31" s="35">
        <f t="shared" si="0"/>
        <v>9.090909090909087E-2</v>
      </c>
      <c r="K31" s="36" t="s">
        <v>176</v>
      </c>
    </row>
    <row r="32" spans="1:17">
      <c r="G32" s="33" t="s">
        <v>157</v>
      </c>
      <c r="H32" s="38">
        <v>1.2</v>
      </c>
      <c r="I32" s="38">
        <v>1.3</v>
      </c>
      <c r="J32" s="35">
        <f t="shared" si="0"/>
        <v>8.3333333333333412E-2</v>
      </c>
      <c r="K32" s="36" t="s">
        <v>176</v>
      </c>
    </row>
    <row r="33" spans="7:11">
      <c r="G33" s="33" t="s">
        <v>148</v>
      </c>
      <c r="H33" s="38">
        <v>2.7</v>
      </c>
      <c r="I33" s="38">
        <v>3.2</v>
      </c>
      <c r="J33" s="35">
        <f t="shared" si="0"/>
        <v>0.18518518518518517</v>
      </c>
      <c r="K33" s="36" t="s">
        <v>176</v>
      </c>
    </row>
    <row r="34" spans="7:11">
      <c r="G34" s="34" t="s">
        <v>149</v>
      </c>
      <c r="H34" s="40">
        <v>11</v>
      </c>
      <c r="I34" s="40">
        <v>10.4</v>
      </c>
      <c r="J34" s="35">
        <f t="shared" si="0"/>
        <v>-5.4545454545454515E-2</v>
      </c>
      <c r="K34" s="36" t="s">
        <v>176</v>
      </c>
    </row>
    <row r="35" spans="7:11">
      <c r="G35" s="34" t="s">
        <v>150</v>
      </c>
      <c r="H35" s="38">
        <v>10.1</v>
      </c>
      <c r="I35" s="38">
        <v>9.6</v>
      </c>
      <c r="J35" s="35">
        <f t="shared" si="0"/>
        <v>-4.9504950495049507E-2</v>
      </c>
      <c r="K35" s="36" t="s">
        <v>176</v>
      </c>
    </row>
    <row r="36" spans="7:11">
      <c r="G36" s="34" t="s">
        <v>147</v>
      </c>
      <c r="H36" s="38">
        <v>0.1</v>
      </c>
      <c r="I36" s="38">
        <v>0.1</v>
      </c>
      <c r="J36" s="35">
        <f t="shared" si="0"/>
        <v>0</v>
      </c>
      <c r="K36" s="37" t="s">
        <v>154</v>
      </c>
    </row>
  </sheetData>
  <conditionalFormatting sqref="Q10:Q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R50"/>
  <sheetViews>
    <sheetView zoomScale="120" zoomScaleNormal="120" workbookViewId="0">
      <selection activeCell="C51" sqref="C51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0.6640625" customWidth="1"/>
    <col min="9" max="9" width="8.6640625" customWidth="1"/>
    <col min="10" max="10" width="8.33203125" customWidth="1"/>
    <col min="11" max="11" width="11.1640625" bestFit="1" customWidth="1"/>
    <col min="12" max="12" width="10.33203125" bestFit="1" customWidth="1"/>
    <col min="13" max="13" width="12.1640625" bestFit="1" customWidth="1"/>
    <col min="14" max="14" width="11.1640625" customWidth="1"/>
    <col min="15" max="15" width="11.33203125" customWidth="1"/>
  </cols>
  <sheetData>
    <row r="2" spans="2:18">
      <c r="B2" s="1" t="s">
        <v>6</v>
      </c>
      <c r="J2" s="1" t="s">
        <v>60</v>
      </c>
      <c r="K2" s="10"/>
      <c r="P2" s="1" t="s">
        <v>102</v>
      </c>
    </row>
    <row r="3" spans="2:18">
      <c r="C3" t="s">
        <v>83</v>
      </c>
      <c r="J3" s="4" t="s">
        <v>91</v>
      </c>
      <c r="K3" s="4" t="s">
        <v>62</v>
      </c>
      <c r="L3" s="4" t="s">
        <v>61</v>
      </c>
      <c r="M3" s="3"/>
      <c r="Q3" t="s">
        <v>51</v>
      </c>
    </row>
    <row r="4" spans="2:18">
      <c r="B4" s="17" t="s">
        <v>170</v>
      </c>
      <c r="J4" s="3">
        <v>1.69</v>
      </c>
      <c r="K4" s="3">
        <v>3.97</v>
      </c>
      <c r="L4" s="3">
        <v>5.26</v>
      </c>
      <c r="M4" s="3"/>
      <c r="Q4" t="s">
        <v>52</v>
      </c>
    </row>
    <row r="5" spans="2:18">
      <c r="C5" t="s">
        <v>34</v>
      </c>
      <c r="J5" s="5">
        <f>1/J4</f>
        <v>0.59171597633136097</v>
      </c>
      <c r="K5" s="5">
        <f>1/K4</f>
        <v>0.25188916876574308</v>
      </c>
      <c r="L5" s="5">
        <f>1/L4</f>
        <v>0.19011406844106465</v>
      </c>
      <c r="M5" s="13">
        <f>SUM(J5:L5)</f>
        <v>1.0337192135381688</v>
      </c>
      <c r="N5" s="18" t="s">
        <v>63</v>
      </c>
      <c r="Q5" t="s">
        <v>56</v>
      </c>
    </row>
    <row r="6" spans="2:18">
      <c r="B6" s="1"/>
      <c r="C6" t="s">
        <v>84</v>
      </c>
      <c r="J6" s="16">
        <f>J5/M5</f>
        <v>0.57241460599930372</v>
      </c>
      <c r="K6" s="16">
        <f>K5/M5</f>
        <v>0.24367271640776406</v>
      </c>
      <c r="L6" s="16">
        <f>L5/M5</f>
        <v>0.1839126775929322</v>
      </c>
      <c r="M6" s="13">
        <f>SUM(J6:L6)</f>
        <v>0.99999999999999989</v>
      </c>
      <c r="N6" s="14" t="s">
        <v>64</v>
      </c>
      <c r="Q6" t="s">
        <v>57</v>
      </c>
    </row>
    <row r="7" spans="2:18">
      <c r="C7" s="2" t="s">
        <v>35</v>
      </c>
      <c r="D7" s="2"/>
      <c r="E7" s="2"/>
      <c r="F7" s="2"/>
      <c r="J7" s="29">
        <f>1/J4</f>
        <v>0.59171597633136097</v>
      </c>
      <c r="K7" s="29">
        <f t="shared" ref="K7:L7" si="0">1/K4</f>
        <v>0.25188916876574308</v>
      </c>
      <c r="L7" s="29">
        <f t="shared" si="0"/>
        <v>0.19011406844106465</v>
      </c>
      <c r="N7" s="1" t="s">
        <v>174</v>
      </c>
    </row>
    <row r="8" spans="2:18">
      <c r="C8" t="s">
        <v>36</v>
      </c>
    </row>
    <row r="9" spans="2:18">
      <c r="C9" t="s">
        <v>38</v>
      </c>
    </row>
    <row r="11" spans="2:18">
      <c r="B11" s="8" t="s">
        <v>85</v>
      </c>
      <c r="C11" s="2"/>
      <c r="M11" s="8" t="s">
        <v>103</v>
      </c>
      <c r="N11" s="2"/>
      <c r="O11" s="2"/>
    </row>
    <row r="12" spans="2:18">
      <c r="C12" t="s">
        <v>86</v>
      </c>
      <c r="D12" s="12" t="s">
        <v>92</v>
      </c>
      <c r="E12" s="15">
        <f>J6</f>
        <v>0.57241460599930372</v>
      </c>
      <c r="F12" s="20" t="s">
        <v>94</v>
      </c>
      <c r="G12" s="21">
        <f>ABS(E12 - E13)</f>
        <v>0.38850192840637154</v>
      </c>
      <c r="O12" s="17" t="s">
        <v>104</v>
      </c>
    </row>
    <row r="13" spans="2:18">
      <c r="C13" t="s">
        <v>87</v>
      </c>
      <c r="D13" s="12" t="s">
        <v>93</v>
      </c>
      <c r="E13" s="15">
        <f>L6</f>
        <v>0.1839126775929322</v>
      </c>
      <c r="F13" s="20"/>
      <c r="G13" s="20"/>
      <c r="J13" s="4" t="s">
        <v>112</v>
      </c>
      <c r="K13" s="4" t="s">
        <v>122</v>
      </c>
      <c r="L13" s="4" t="s">
        <v>110</v>
      </c>
      <c r="M13" s="4" t="s">
        <v>117</v>
      </c>
      <c r="R13" s="1"/>
    </row>
    <row r="14" spans="2:18">
      <c r="J14">
        <v>21</v>
      </c>
      <c r="K14">
        <v>46.1</v>
      </c>
      <c r="L14">
        <v>14.4</v>
      </c>
      <c r="O14" t="s">
        <v>111</v>
      </c>
    </row>
    <row r="15" spans="2:18">
      <c r="C15" s="10" t="s">
        <v>132</v>
      </c>
      <c r="J15" t="s">
        <v>113</v>
      </c>
      <c r="K15" s="15">
        <f>K14/J14</f>
        <v>2.1952380952380954</v>
      </c>
      <c r="L15" s="15">
        <f>L14/J14</f>
        <v>0.68571428571428572</v>
      </c>
      <c r="M15">
        <v>628.9</v>
      </c>
    </row>
    <row r="16" spans="2:18">
      <c r="J16" t="s">
        <v>118</v>
      </c>
      <c r="M16" s="15">
        <f>M15/90</f>
        <v>6.9877777777777776</v>
      </c>
      <c r="N16" t="s">
        <v>105</v>
      </c>
    </row>
    <row r="17" spans="2:18">
      <c r="F17" s="11">
        <f>1/(1+(0.961*(POWER(E12/(1-E12),-1.06))))</f>
        <v>0.586373359521973</v>
      </c>
      <c r="O17" s="1" t="s">
        <v>106</v>
      </c>
      <c r="P17" s="15">
        <v>6.9878</v>
      </c>
      <c r="R17" t="s">
        <v>116</v>
      </c>
    </row>
    <row r="18" spans="2:18">
      <c r="O18" s="1" t="s">
        <v>107</v>
      </c>
      <c r="P18" s="15">
        <f>K15 - ((K15 - 1)/2)</f>
        <v>1.5976190476190477</v>
      </c>
      <c r="R18" t="s">
        <v>123</v>
      </c>
    </row>
    <row r="19" spans="2:18">
      <c r="C19" s="10" t="s">
        <v>89</v>
      </c>
      <c r="G19" t="s">
        <v>88</v>
      </c>
      <c r="O19" s="1" t="s">
        <v>108</v>
      </c>
      <c r="P19" s="15">
        <f>L15</f>
        <v>0.68571428571428572</v>
      </c>
      <c r="R19" t="s">
        <v>114</v>
      </c>
    </row>
    <row r="20" spans="2:18">
      <c r="O20" s="1" t="s">
        <v>109</v>
      </c>
      <c r="P20">
        <v>1</v>
      </c>
      <c r="R20" t="s">
        <v>115</v>
      </c>
    </row>
    <row r="21" spans="2:18">
      <c r="C21" t="s">
        <v>95</v>
      </c>
    </row>
    <row r="22" spans="2:18">
      <c r="D22" s="25">
        <f xml:space="preserve"> 0.355 - 0.25 * (G12)</f>
        <v>0.2578745178984071</v>
      </c>
      <c r="N22" t="s">
        <v>121</v>
      </c>
      <c r="P22" s="23">
        <f xml:space="preserve"> EXP(-0.7574 + (0.13*P17) + (0.76*P18))</f>
        <v>3.9165238059901268</v>
      </c>
      <c r="R22" s="11" t="s">
        <v>119</v>
      </c>
    </row>
    <row r="23" spans="2:18">
      <c r="N23" t="s">
        <v>120</v>
      </c>
      <c r="P23" s="23">
        <f xml:space="preserve"> EXP(-0.0784 + (0.5057*P19) + (0.5527*P20))</f>
        <v>2.2729208314597469</v>
      </c>
    </row>
    <row r="24" spans="2:18">
      <c r="C24" s="26" t="s">
        <v>96</v>
      </c>
      <c r="D24" s="26"/>
      <c r="E24" s="26"/>
    </row>
    <row r="26" spans="2:18">
      <c r="B26" s="8" t="s">
        <v>90</v>
      </c>
      <c r="C26" s="2"/>
      <c r="M26" s="8" t="s">
        <v>124</v>
      </c>
      <c r="N26" s="2"/>
      <c r="O26" s="2"/>
      <c r="Q26" t="s">
        <v>125</v>
      </c>
    </row>
    <row r="27" spans="2:18">
      <c r="C27" t="s">
        <v>98</v>
      </c>
      <c r="I27" s="1" t="s">
        <v>91</v>
      </c>
      <c r="J27" s="1" t="s">
        <v>62</v>
      </c>
      <c r="K27" s="1" t="s">
        <v>61</v>
      </c>
    </row>
    <row r="28" spans="2:18">
      <c r="C28" s="1" t="s">
        <v>97</v>
      </c>
      <c r="I28" s="15">
        <v>0.56799999999999995</v>
      </c>
      <c r="J28" s="15">
        <v>0.24099999999999999</v>
      </c>
      <c r="K28" s="15">
        <v>0.191</v>
      </c>
      <c r="N28" t="s">
        <v>126</v>
      </c>
      <c r="O28" t="s">
        <v>127</v>
      </c>
    </row>
    <row r="29" spans="2:18">
      <c r="C29" s="1" t="s">
        <v>99</v>
      </c>
      <c r="I29" s="15">
        <v>0.59</v>
      </c>
      <c r="J29" s="15">
        <v>0.22</v>
      </c>
      <c r="K29" s="15">
        <v>0.19</v>
      </c>
      <c r="N29" s="15">
        <v>2</v>
      </c>
      <c r="O29" s="15">
        <v>0</v>
      </c>
    </row>
    <row r="30" spans="2:18">
      <c r="C30" t="s">
        <v>100</v>
      </c>
      <c r="N30" s="19">
        <f xml:space="preserve"> N29 - ((N29-1)/2)</f>
        <v>1.5</v>
      </c>
      <c r="O30" s="19">
        <f xml:space="preserve"> O29 - ((O29-1)/2)</f>
        <v>0.5</v>
      </c>
      <c r="P30" s="11" t="s">
        <v>128</v>
      </c>
    </row>
    <row r="31" spans="2:18">
      <c r="F31" t="s">
        <v>101</v>
      </c>
      <c r="I31" s="16">
        <f>AVERAGE(I28,I29)</f>
        <v>0.57899999999999996</v>
      </c>
      <c r="J31" s="16">
        <f>AVERAGE(J28,J29)</f>
        <v>0.23049999999999998</v>
      </c>
      <c r="K31" s="16">
        <f>AVERAGE(K28,K29)</f>
        <v>0.1905</v>
      </c>
      <c r="L31" s="1" t="s">
        <v>171</v>
      </c>
    </row>
    <row r="32" spans="2:18">
      <c r="I32" s="9">
        <v>0.62</v>
      </c>
      <c r="J32" s="9">
        <v>0.21</v>
      </c>
      <c r="K32" s="9">
        <v>0.17</v>
      </c>
      <c r="L32" s="1" t="s">
        <v>172</v>
      </c>
    </row>
    <row r="33" spans="2:12">
      <c r="I33" s="16">
        <v>0.61618772321349602</v>
      </c>
      <c r="J33" s="16">
        <v>0.257530802367819</v>
      </c>
      <c r="K33" s="16">
        <v>0.12181139182480299</v>
      </c>
      <c r="L33" s="1" t="s">
        <v>173</v>
      </c>
    </row>
    <row r="35" spans="2:12">
      <c r="F35" t="s">
        <v>175</v>
      </c>
      <c r="I35" s="30">
        <f>AVERAGE(I31:I33)</f>
        <v>0.60506257440449862</v>
      </c>
      <c r="J35" s="30">
        <f t="shared" ref="J35:K35" si="1">AVERAGE(J31:J33)</f>
        <v>0.23267693412260634</v>
      </c>
      <c r="K35" s="30">
        <f t="shared" si="1"/>
        <v>0.16077046394160102</v>
      </c>
      <c r="L35" s="1" t="s">
        <v>92</v>
      </c>
    </row>
    <row r="37" spans="2:12">
      <c r="B37" s="1" t="s">
        <v>135</v>
      </c>
    </row>
    <row r="38" spans="2:12">
      <c r="G38" s="28">
        <v>0.47783047747761298</v>
      </c>
      <c r="H38" s="15">
        <f>G38/G41</f>
        <v>0.61666387856529326</v>
      </c>
    </row>
    <row r="39" spans="2:12">
      <c r="G39" s="28">
        <v>0.16579320964548899</v>
      </c>
      <c r="H39" s="15">
        <f>G39/G41</f>
        <v>0.2139643419973479</v>
      </c>
    </row>
    <row r="40" spans="2:12">
      <c r="G40" s="28">
        <v>0.13124004997354</v>
      </c>
      <c r="H40" s="15">
        <f>G40/G41</f>
        <v>0.16937177943735876</v>
      </c>
    </row>
    <row r="41" spans="2:12">
      <c r="G41" s="28">
        <f>SUM(G38:G40)</f>
        <v>0.77486373709664202</v>
      </c>
    </row>
    <row r="45" spans="2:12">
      <c r="B45" s="1" t="s">
        <v>179</v>
      </c>
      <c r="C45" t="s">
        <v>180</v>
      </c>
    </row>
    <row r="46" spans="2:12">
      <c r="C46" t="s">
        <v>181</v>
      </c>
    </row>
    <row r="48" spans="2:12">
      <c r="C48" t="s">
        <v>182</v>
      </c>
    </row>
    <row r="50" spans="3:3">
      <c r="C50" t="s">
        <v>183</v>
      </c>
    </row>
  </sheetData>
  <mergeCells count="2">
    <mergeCell ref="F12:F13"/>
    <mergeCell ref="G12:G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I12"/>
  <sheetViews>
    <sheetView tabSelected="1" zoomScale="130" zoomScaleNormal="130" workbookViewId="0">
      <selection activeCell="D13" sqref="D13"/>
    </sheetView>
  </sheetViews>
  <sheetFormatPr baseColWidth="10" defaultRowHeight="16"/>
  <sheetData>
    <row r="2" spans="2:9">
      <c r="B2" s="1" t="s">
        <v>7</v>
      </c>
      <c r="C2" t="s">
        <v>39</v>
      </c>
      <c r="F2" s="2" t="s">
        <v>40</v>
      </c>
    </row>
    <row r="4" spans="2:9">
      <c r="B4" s="1" t="s">
        <v>8</v>
      </c>
    </row>
    <row r="6" spans="2:9">
      <c r="B6" s="6" t="s">
        <v>27</v>
      </c>
      <c r="C6" s="6"/>
    </row>
    <row r="7" spans="2:9">
      <c r="B7" s="7"/>
      <c r="C7" s="7" t="s">
        <v>130</v>
      </c>
      <c r="F7" s="2" t="s">
        <v>131</v>
      </c>
      <c r="I7" t="s">
        <v>177</v>
      </c>
    </row>
    <row r="8" spans="2:9">
      <c r="B8" s="7"/>
      <c r="C8" s="7"/>
    </row>
    <row r="10" spans="2:9">
      <c r="B10" s="1" t="s">
        <v>168</v>
      </c>
    </row>
    <row r="12" spans="2:9">
      <c r="D12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10"/>
  <sheetViews>
    <sheetView zoomScale="130" zoomScaleNormal="130" workbookViewId="0">
      <selection activeCell="F9" sqref="F9"/>
    </sheetView>
  </sheetViews>
  <sheetFormatPr baseColWidth="10" defaultRowHeight="16"/>
  <sheetData>
    <row r="1" spans="1:9">
      <c r="A1" s="1" t="s">
        <v>29</v>
      </c>
    </row>
    <row r="2" spans="1:9">
      <c r="B2" t="s">
        <v>4</v>
      </c>
    </row>
    <row r="3" spans="1:9">
      <c r="B3" t="s">
        <v>5</v>
      </c>
      <c r="F3" t="s">
        <v>68</v>
      </c>
      <c r="G3" t="s">
        <v>43</v>
      </c>
      <c r="H3" t="s">
        <v>41</v>
      </c>
      <c r="I3" t="s">
        <v>44</v>
      </c>
    </row>
    <row r="4" spans="1:9">
      <c r="B4" t="s">
        <v>22</v>
      </c>
      <c r="H4" t="s">
        <v>42</v>
      </c>
      <c r="I4" t="s">
        <v>45</v>
      </c>
    </row>
    <row r="5" spans="1:9">
      <c r="I5" t="s">
        <v>46</v>
      </c>
    </row>
    <row r="6" spans="1:9">
      <c r="A6" s="1" t="s">
        <v>18</v>
      </c>
    </row>
    <row r="7" spans="1:9">
      <c r="B7" t="s">
        <v>19</v>
      </c>
      <c r="F7" s="2" t="s">
        <v>69</v>
      </c>
    </row>
    <row r="8" spans="1:9">
      <c r="B8" t="s">
        <v>20</v>
      </c>
      <c r="F8" t="s">
        <v>178</v>
      </c>
    </row>
    <row r="9" spans="1:9">
      <c r="B9" t="s">
        <v>30</v>
      </c>
      <c r="D9" s="20" t="s">
        <v>32</v>
      </c>
    </row>
    <row r="10" spans="1:9">
      <c r="B10" t="s">
        <v>31</v>
      </c>
      <c r="D10" s="20"/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C15"/>
  <sheetViews>
    <sheetView zoomScale="130" zoomScaleNormal="130" workbookViewId="0">
      <selection activeCell="F19" sqref="F19"/>
    </sheetView>
  </sheetViews>
  <sheetFormatPr baseColWidth="10" defaultRowHeight="16"/>
  <sheetData>
    <row r="2" spans="1:3">
      <c r="B2" s="1" t="s">
        <v>3</v>
      </c>
    </row>
    <row r="3" spans="1:3">
      <c r="B3" s="1"/>
      <c r="C3" t="s">
        <v>77</v>
      </c>
    </row>
    <row r="4" spans="1:3">
      <c r="A4" s="1" t="s">
        <v>26</v>
      </c>
    </row>
    <row r="5" spans="1:3">
      <c r="A5" s="1"/>
    </row>
    <row r="6" spans="1:3">
      <c r="A6" s="1" t="s">
        <v>21</v>
      </c>
      <c r="B6" t="s">
        <v>28</v>
      </c>
    </row>
    <row r="7" spans="1:3">
      <c r="B7" t="s">
        <v>76</v>
      </c>
    </row>
    <row r="9" spans="1:3">
      <c r="A9" s="1" t="s">
        <v>15</v>
      </c>
    </row>
    <row r="10" spans="1:3">
      <c r="B10" t="s">
        <v>70</v>
      </c>
    </row>
    <row r="11" spans="1:3">
      <c r="C11" t="s">
        <v>71</v>
      </c>
    </row>
    <row r="12" spans="1:3">
      <c r="C12" t="s">
        <v>72</v>
      </c>
    </row>
    <row r="13" spans="1:3">
      <c r="C13" t="s">
        <v>73</v>
      </c>
    </row>
    <row r="14" spans="1:3">
      <c r="C14" t="s">
        <v>74</v>
      </c>
    </row>
    <row r="15" spans="1:3">
      <c r="C15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E14"/>
  <sheetViews>
    <sheetView zoomScale="130" zoomScaleNormal="130" workbookViewId="0">
      <selection activeCell="C2" sqref="C2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5">
      <c r="C1" s="11" t="s">
        <v>78</v>
      </c>
    </row>
    <row r="2" spans="2:5">
      <c r="B2" s="1" t="s">
        <v>9</v>
      </c>
      <c r="E2" s="24"/>
    </row>
    <row r="3" spans="2:5">
      <c r="B3" s="1"/>
      <c r="E3" s="24"/>
    </row>
    <row r="4" spans="2:5">
      <c r="B4" s="1"/>
      <c r="E4" s="24"/>
    </row>
    <row r="5" spans="2:5">
      <c r="B5" s="1"/>
      <c r="E5" s="24"/>
    </row>
    <row r="6" spans="2:5">
      <c r="B6" s="1"/>
      <c r="E6" s="24"/>
    </row>
    <row r="8" spans="2:5">
      <c r="B8" s="1" t="s">
        <v>11</v>
      </c>
      <c r="C8" t="s">
        <v>17</v>
      </c>
    </row>
    <row r="10" spans="2:5">
      <c r="B10" s="1" t="s">
        <v>10</v>
      </c>
      <c r="C10" t="s">
        <v>16</v>
      </c>
    </row>
    <row r="11" spans="2:5">
      <c r="B11" s="1" t="s">
        <v>12</v>
      </c>
      <c r="C11" t="s">
        <v>166</v>
      </c>
      <c r="E11" t="s">
        <v>167</v>
      </c>
    </row>
    <row r="13" spans="2:5">
      <c r="B13" s="1" t="s">
        <v>13</v>
      </c>
    </row>
    <row r="14" spans="2:5">
      <c r="B14" s="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K10"/>
  <sheetViews>
    <sheetView zoomScale="120" zoomScaleNormal="120" workbookViewId="0"/>
  </sheetViews>
  <sheetFormatPr baseColWidth="10" defaultRowHeight="16"/>
  <cols>
    <col min="2" max="2" width="104.83203125" bestFit="1" customWidth="1"/>
    <col min="8" max="8" width="11.5" customWidth="1"/>
    <col min="11" max="11" width="11" customWidth="1"/>
    <col min="14" max="14" width="32.33203125" customWidth="1"/>
  </cols>
  <sheetData>
    <row r="1" spans="1:11">
      <c r="A1" s="1" t="s">
        <v>33</v>
      </c>
    </row>
    <row r="2" spans="1:11">
      <c r="B2" s="10" t="s">
        <v>159</v>
      </c>
      <c r="C2" t="s">
        <v>164</v>
      </c>
    </row>
    <row r="3" spans="1:11">
      <c r="B3" s="10" t="s">
        <v>161</v>
      </c>
      <c r="G3" s="11"/>
      <c r="H3" s="9"/>
    </row>
    <row r="4" spans="1:11">
      <c r="B4" s="10" t="s">
        <v>160</v>
      </c>
      <c r="I4" s="22" t="s">
        <v>37</v>
      </c>
      <c r="J4" s="20"/>
      <c r="K4" s="20"/>
    </row>
    <row r="5" spans="1:11">
      <c r="B5" s="10" t="s">
        <v>162</v>
      </c>
      <c r="I5" s="20"/>
      <c r="J5" s="20"/>
      <c r="K5" s="20"/>
    </row>
    <row r="6" spans="1:11">
      <c r="B6" s="10" t="s">
        <v>163</v>
      </c>
      <c r="C6" t="s">
        <v>165</v>
      </c>
      <c r="H6" s="9"/>
    </row>
    <row r="8" spans="1:11">
      <c r="A8" s="1" t="s">
        <v>25</v>
      </c>
    </row>
    <row r="9" spans="1:11">
      <c r="B9" t="s">
        <v>24</v>
      </c>
    </row>
    <row r="10" spans="1:11">
      <c r="B10" t="s">
        <v>129</v>
      </c>
    </row>
  </sheetData>
  <mergeCells count="1">
    <mergeCell ref="I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Match Analysis</vt:lpstr>
      <vt:lpstr>2 Reading updates</vt:lpstr>
      <vt:lpstr>3 Community updates</vt:lpstr>
      <vt:lpstr>4 Working hours</vt:lpstr>
      <vt:lpstr>5 Self-learning</vt:lpstr>
      <vt:lpstr>6 Getting Involved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2022-01-17T22:49:28Z</dcterms:modified>
</cp:coreProperties>
</file>