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6th sem\CE462A\Projects\Project 1\180893\"/>
    </mc:Choice>
  </mc:AlternateContent>
  <xr:revisionPtr revIDLastSave="0" documentId="13_ncr:1_{A7BFF301-22DA-470A-B351-6B1F3AA47E52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Dataset" sheetId="1" r:id="rId1"/>
    <sheet name="KS" sheetId="2" r:id="rId2"/>
    <sheet name="IDF Curve" sheetId="4" r:id="rId3"/>
    <sheet name="Part B &amp; E" sheetId="5" r:id="rId4"/>
    <sheet name="Part C" sheetId="6" r:id="rId5"/>
    <sheet name="Part D" sheetId="7" r:id="rId6"/>
  </sheets>
  <definedNames>
    <definedName name="solver_adj" localSheetId="2" hidden="1">'IDF Curve'!$C$58:$C$61</definedName>
    <definedName name="solver_adj" localSheetId="3" hidden="1">'Part B &amp; E'!$Q$30</definedName>
    <definedName name="solver_adj" localSheetId="4" hidden="1">'Part C'!$F$7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2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'IDF Curve'!$C$62</definedName>
    <definedName name="solver_opt" localSheetId="3" hidden="1">'Part B &amp; E'!$Q$32</definedName>
    <definedName name="solver_opt" localSheetId="4" hidden="1">'Part C'!$E$7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2</definedName>
    <definedName name="solver_rbv" localSheetId="3" hidden="1">1</definedName>
    <definedName name="solver_rbv" localSheetId="4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2</definedName>
    <definedName name="solver_typ" localSheetId="3" hidden="1">3</definedName>
    <definedName name="solver_typ" localSheetId="4" hidden="1">3</definedName>
    <definedName name="solver_val" localSheetId="2" hidden="1">0</definedName>
    <definedName name="solver_val" localSheetId="3" hidden="1">0</definedName>
    <definedName name="solver_val" localSheetId="4" hidden="1">0.998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</workbook>
</file>

<file path=xl/calcChain.xml><?xml version="1.0" encoding="utf-8"?>
<calcChain xmlns="http://schemas.openxmlformats.org/spreadsheetml/2006/main">
  <c r="J68" i="5" l="1"/>
  <c r="D41" i="5"/>
  <c r="E41" i="5" s="1"/>
  <c r="E38" i="5"/>
  <c r="G38" i="5"/>
  <c r="L38" i="5"/>
  <c r="N38" i="5" s="1"/>
  <c r="O38" i="5" s="1"/>
  <c r="L44" i="5" s="1"/>
  <c r="G39" i="5"/>
  <c r="G40" i="5"/>
  <c r="I41" i="5"/>
  <c r="L41" i="5"/>
  <c r="N41" i="5" s="1"/>
  <c r="D45" i="5"/>
  <c r="E45" i="5" s="1"/>
  <c r="I45" i="5"/>
  <c r="L45" i="5"/>
  <c r="N45" i="5" s="1"/>
  <c r="O45" i="5" s="1"/>
  <c r="L49" i="5" s="1"/>
  <c r="D50" i="5"/>
  <c r="E50" i="5" s="1"/>
  <c r="G50" i="5"/>
  <c r="L50" i="5"/>
  <c r="N50" i="5"/>
  <c r="O52" i="5" s="1"/>
  <c r="L57" i="5" s="1"/>
  <c r="G51" i="5"/>
  <c r="G52" i="5"/>
  <c r="D53" i="5"/>
  <c r="E53" i="5" s="1"/>
  <c r="G53" i="5"/>
  <c r="L53" i="5"/>
  <c r="N53" i="5" s="1"/>
  <c r="O55" i="5" s="1"/>
  <c r="L58" i="5" s="1"/>
  <c r="G54" i="5"/>
  <c r="G55" i="5"/>
  <c r="G103" i="5"/>
  <c r="F103" i="5"/>
  <c r="D105" i="5"/>
  <c r="D106" i="5"/>
  <c r="D107" i="5"/>
  <c r="D108" i="5"/>
  <c r="D104" i="5"/>
  <c r="H16" i="7"/>
  <c r="H17" i="7"/>
  <c r="H15" i="7"/>
  <c r="H18" i="7"/>
  <c r="H14" i="7"/>
  <c r="H19" i="7"/>
  <c r="H13" i="7"/>
  <c r="H20" i="7"/>
  <c r="H12" i="7"/>
  <c r="H21" i="7"/>
  <c r="H11" i="7"/>
  <c r="H22" i="7"/>
  <c r="H10" i="7"/>
  <c r="H23" i="7"/>
  <c r="H9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10" i="7"/>
  <c r="F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9" i="7"/>
  <c r="G4" i="7"/>
  <c r="G5" i="7"/>
  <c r="G6" i="7"/>
  <c r="G3" i="7"/>
  <c r="C8" i="6"/>
  <c r="C7" i="6"/>
  <c r="E7" i="6"/>
  <c r="C6" i="6"/>
  <c r="C4" i="6"/>
  <c r="C3" i="6"/>
  <c r="I92" i="5"/>
  <c r="F105" i="5" s="1"/>
  <c r="I93" i="5"/>
  <c r="F106" i="5" s="1"/>
  <c r="I94" i="5"/>
  <c r="F107" i="5" s="1"/>
  <c r="I95" i="5"/>
  <c r="F108" i="5" s="1"/>
  <c r="I91" i="5"/>
  <c r="F104" i="5" s="1"/>
  <c r="I38" i="5" l="1"/>
  <c r="J38" i="5" s="1"/>
  <c r="K38" i="5" s="1"/>
  <c r="J45" i="5"/>
  <c r="K45" i="5" s="1"/>
  <c r="J49" i="5" s="1"/>
  <c r="I53" i="5"/>
  <c r="J53" i="5"/>
  <c r="K53" i="5" s="1"/>
  <c r="J58" i="5" s="1"/>
  <c r="I50" i="5"/>
  <c r="J50" i="5" s="1"/>
  <c r="K50" i="5" s="1"/>
  <c r="J57" i="5" s="1"/>
  <c r="J41" i="5"/>
  <c r="J44" i="5" l="1"/>
  <c r="K41" i="5" s="1"/>
  <c r="J48" i="5" s="1"/>
  <c r="K48" i="5" s="1"/>
  <c r="J56" i="5" s="1"/>
  <c r="K56" i="5" s="1"/>
  <c r="D73" i="5"/>
  <c r="E73" i="5" s="1"/>
  <c r="D74" i="5"/>
  <c r="E74" i="5" s="1"/>
  <c r="D75" i="5"/>
  <c r="E75" i="5" s="1"/>
  <c r="D76" i="5"/>
  <c r="D77" i="5"/>
  <c r="E77" i="5" s="1"/>
  <c r="D78" i="5"/>
  <c r="D79" i="5"/>
  <c r="R31" i="5"/>
  <c r="O31" i="5"/>
  <c r="L31" i="5"/>
  <c r="I31" i="5"/>
  <c r="B29" i="5"/>
  <c r="F31" i="5"/>
  <c r="B33" i="5"/>
  <c r="B32" i="5"/>
  <c r="B31" i="5"/>
  <c r="B30" i="5"/>
  <c r="M77" i="4"/>
  <c r="U77" i="4" s="1"/>
  <c r="N77" i="4"/>
  <c r="V77" i="4" s="1"/>
  <c r="O76" i="4"/>
  <c r="W76" i="4" s="1"/>
  <c r="P77" i="4"/>
  <c r="X77" i="4" s="1"/>
  <c r="P73" i="4"/>
  <c r="X73" i="4" s="1"/>
  <c r="P74" i="4"/>
  <c r="X74" i="4" s="1"/>
  <c r="P75" i="4"/>
  <c r="X75" i="4" s="1"/>
  <c r="P76" i="4"/>
  <c r="X76" i="4" s="1"/>
  <c r="P78" i="4"/>
  <c r="X78" i="4" s="1"/>
  <c r="P79" i="4"/>
  <c r="X79" i="4" s="1"/>
  <c r="P80" i="4"/>
  <c r="X80" i="4" s="1"/>
  <c r="P72" i="4"/>
  <c r="X72" i="4" s="1"/>
  <c r="O77" i="4"/>
  <c r="W77" i="4" s="1"/>
  <c r="O73" i="4"/>
  <c r="W73" i="4" s="1"/>
  <c r="O74" i="4"/>
  <c r="W74" i="4" s="1"/>
  <c r="O75" i="4"/>
  <c r="W75" i="4" s="1"/>
  <c r="O78" i="4"/>
  <c r="W78" i="4" s="1"/>
  <c r="O79" i="4"/>
  <c r="W79" i="4" s="1"/>
  <c r="O80" i="4"/>
  <c r="W80" i="4" s="1"/>
  <c r="O72" i="4"/>
  <c r="W72" i="4" s="1"/>
  <c r="N75" i="4"/>
  <c r="V75" i="4" s="1"/>
  <c r="N73" i="4"/>
  <c r="V73" i="4" s="1"/>
  <c r="N74" i="4"/>
  <c r="V74" i="4" s="1"/>
  <c r="N76" i="4"/>
  <c r="V76" i="4" s="1"/>
  <c r="N78" i="4"/>
  <c r="V78" i="4" s="1"/>
  <c r="N79" i="4"/>
  <c r="V79" i="4" s="1"/>
  <c r="N80" i="4"/>
  <c r="V80" i="4" s="1"/>
  <c r="N72" i="4"/>
  <c r="V72" i="4" s="1"/>
  <c r="M80" i="4"/>
  <c r="U80" i="4" s="1"/>
  <c r="M79" i="4"/>
  <c r="U79" i="4" s="1"/>
  <c r="M76" i="4"/>
  <c r="U76" i="4" s="1"/>
  <c r="M75" i="4"/>
  <c r="U75" i="4" s="1"/>
  <c r="M78" i="4"/>
  <c r="U78" i="4" s="1"/>
  <c r="M73" i="4"/>
  <c r="U73" i="4" s="1"/>
  <c r="M74" i="4"/>
  <c r="U74" i="4" s="1"/>
  <c r="M72" i="4"/>
  <c r="U72" i="4" s="1"/>
  <c r="L80" i="4"/>
  <c r="T80" i="4" s="1"/>
  <c r="L78" i="4"/>
  <c r="T78" i="4" s="1"/>
  <c r="L75" i="4"/>
  <c r="T75" i="4" s="1"/>
  <c r="L77" i="4"/>
  <c r="T77" i="4" s="1"/>
  <c r="L72" i="4"/>
  <c r="T72" i="4" s="1"/>
  <c r="L79" i="4"/>
  <c r="T79" i="4" s="1"/>
  <c r="L76" i="4"/>
  <c r="T76" i="4" s="1"/>
  <c r="L74" i="4"/>
  <c r="T74" i="4" s="1"/>
  <c r="L73" i="4"/>
  <c r="T73" i="4" s="1"/>
  <c r="Q13" i="4"/>
  <c r="Q12" i="4"/>
  <c r="P13" i="4"/>
  <c r="P12" i="4"/>
  <c r="O13" i="4"/>
  <c r="O12" i="4"/>
  <c r="N13" i="4"/>
  <c r="N12" i="4"/>
  <c r="N11" i="4"/>
  <c r="O11" i="4"/>
  <c r="P11" i="4"/>
  <c r="Q11" i="4"/>
  <c r="M13" i="4"/>
  <c r="M12" i="4"/>
  <c r="M11" i="4"/>
  <c r="M10" i="4"/>
  <c r="M9" i="4"/>
  <c r="M8" i="4"/>
  <c r="M7" i="4"/>
  <c r="N10" i="4"/>
  <c r="N9" i="4"/>
  <c r="N8" i="4"/>
  <c r="N7" i="4"/>
  <c r="O10" i="4"/>
  <c r="O9" i="4"/>
  <c r="O8" i="4"/>
  <c r="O7" i="4"/>
  <c r="P10" i="4"/>
  <c r="P9" i="4"/>
  <c r="P8" i="4"/>
  <c r="P7" i="4"/>
  <c r="Q10" i="4"/>
  <c r="Q9" i="4"/>
  <c r="Q8" i="4"/>
  <c r="Q7" i="4"/>
  <c r="Q6" i="4"/>
  <c r="P6" i="4"/>
  <c r="O6" i="4"/>
  <c r="N6" i="4"/>
  <c r="M6" i="4"/>
  <c r="Q5" i="4"/>
  <c r="P5" i="4"/>
  <c r="O5" i="4"/>
  <c r="N5" i="4"/>
  <c r="M5" i="4"/>
  <c r="D6" i="4"/>
  <c r="E6" i="4"/>
  <c r="F6" i="4"/>
  <c r="G6" i="4"/>
  <c r="H6" i="4"/>
  <c r="D63" i="5"/>
  <c r="D65" i="5"/>
  <c r="J65" i="5" s="1"/>
  <c r="D64" i="5"/>
  <c r="J64" i="5" s="1"/>
  <c r="D66" i="5"/>
  <c r="D67" i="5"/>
  <c r="D62" i="5"/>
  <c r="C63" i="5"/>
  <c r="C66" i="5"/>
  <c r="C67" i="5"/>
  <c r="C62" i="5"/>
  <c r="D13" i="4"/>
  <c r="B55" i="1"/>
  <c r="B58" i="1" s="1"/>
  <c r="B523" i="2" a="1"/>
  <c r="B523" i="2" s="1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B458" i="2" a="1"/>
  <c r="B458" i="2" s="1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B393" i="2" a="1"/>
  <c r="B393" i="2" s="1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B328" i="2" a="1"/>
  <c r="B328" i="2" s="1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B263" i="2" a="1"/>
  <c r="B263" i="2" s="1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B198" i="2" a="1"/>
  <c r="B198" i="2" s="1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B133" i="2" a="1"/>
  <c r="B133" i="2" s="1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C55" i="1"/>
  <c r="C58" i="1" s="1"/>
  <c r="D55" i="1"/>
  <c r="D58" i="1" s="1"/>
  <c r="E55" i="1"/>
  <c r="E58" i="1" s="1"/>
  <c r="F55" i="1"/>
  <c r="F58" i="1" s="1"/>
  <c r="G55" i="1"/>
  <c r="G58" i="1" s="1"/>
  <c r="H55" i="1"/>
  <c r="H58" i="1" s="1"/>
  <c r="I55" i="1"/>
  <c r="I58" i="1" s="1"/>
  <c r="J55" i="1"/>
  <c r="J58" i="1" s="1"/>
  <c r="C54" i="1"/>
  <c r="D54" i="1"/>
  <c r="E54" i="1"/>
  <c r="F54" i="1"/>
  <c r="G54" i="1"/>
  <c r="H54" i="1"/>
  <c r="I54" i="1"/>
  <c r="I59" i="1" s="1"/>
  <c r="J54" i="1"/>
  <c r="B54" i="1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B68" i="2" a="1"/>
  <c r="B68" i="2" s="1"/>
  <c r="F75" i="5" l="1"/>
  <c r="G75" i="5" s="1"/>
  <c r="P38" i="5"/>
  <c r="P52" i="5"/>
  <c r="P45" i="5"/>
  <c r="P55" i="5"/>
  <c r="D92" i="5"/>
  <c r="E92" i="5" s="1"/>
  <c r="D94" i="5"/>
  <c r="E94" i="5" s="1"/>
  <c r="D95" i="5"/>
  <c r="E95" i="5" s="1"/>
  <c r="D93" i="5"/>
  <c r="E93" i="5" s="1"/>
  <c r="D91" i="5"/>
  <c r="E91" i="5" s="1"/>
  <c r="J67" i="5"/>
  <c r="F78" i="5" s="1"/>
  <c r="G78" i="5" s="1"/>
  <c r="J66" i="5"/>
  <c r="F77" i="5" s="1"/>
  <c r="G77" i="5" s="1"/>
  <c r="F76" i="5"/>
  <c r="G76" i="5" s="1"/>
  <c r="J63" i="5"/>
  <c r="F74" i="5" s="1"/>
  <c r="G74" i="5" s="1"/>
  <c r="K31" i="5"/>
  <c r="K32" i="5" s="1"/>
  <c r="J62" i="5"/>
  <c r="F79" i="5"/>
  <c r="G79" i="5" s="1"/>
  <c r="E79" i="5"/>
  <c r="E78" i="5"/>
  <c r="E76" i="5"/>
  <c r="H31" i="5"/>
  <c r="H32" i="5" s="1"/>
  <c r="C62" i="4"/>
  <c r="C93" i="5"/>
  <c r="C106" i="5" s="1"/>
  <c r="E106" i="5" s="1"/>
  <c r="B120" i="2"/>
  <c r="C59" i="1"/>
  <c r="E59" i="1"/>
  <c r="J59" i="1"/>
  <c r="H59" i="1"/>
  <c r="H13" i="4"/>
  <c r="E13" i="4"/>
  <c r="D59" i="1"/>
  <c r="H12" i="4"/>
  <c r="G12" i="4"/>
  <c r="F12" i="4"/>
  <c r="E12" i="4"/>
  <c r="D12" i="4"/>
  <c r="D11" i="4"/>
  <c r="H11" i="4"/>
  <c r="G11" i="4"/>
  <c r="F11" i="4"/>
  <c r="E11" i="4"/>
  <c r="G59" i="1"/>
  <c r="H8" i="4"/>
  <c r="G8" i="4"/>
  <c r="F8" i="4"/>
  <c r="E8" i="4"/>
  <c r="D8" i="4"/>
  <c r="F63" i="1"/>
  <c r="F62" i="1" s="1"/>
  <c r="F59" i="1"/>
  <c r="E63" i="1"/>
  <c r="E62" i="1" s="1"/>
  <c r="D63" i="1"/>
  <c r="D62" i="1" s="1"/>
  <c r="C63" i="1"/>
  <c r="C62" i="1" s="1"/>
  <c r="J63" i="1"/>
  <c r="I63" i="1"/>
  <c r="I62" i="1" s="1"/>
  <c r="G63" i="1"/>
  <c r="G62" i="1" s="1"/>
  <c r="H63" i="1"/>
  <c r="H62" i="1" s="1"/>
  <c r="B63" i="1"/>
  <c r="B62" i="1" s="1"/>
  <c r="B59" i="1"/>
  <c r="F93" i="5" l="1"/>
  <c r="J93" i="5" s="1"/>
  <c r="G106" i="5" s="1"/>
  <c r="C92" i="5"/>
  <c r="C105" i="5" s="1"/>
  <c r="E105" i="5" s="1"/>
  <c r="F73" i="5"/>
  <c r="G73" i="5" s="1"/>
  <c r="N31" i="5"/>
  <c r="N32" i="5" s="1"/>
  <c r="Q31" i="5"/>
  <c r="Q32" i="5" s="1"/>
  <c r="E31" i="5"/>
  <c r="E32" i="5" s="1"/>
  <c r="F13" i="4"/>
  <c r="G13" i="4"/>
  <c r="I68" i="2"/>
  <c r="J68" i="2" s="1"/>
  <c r="H9" i="4"/>
  <c r="G9" i="4"/>
  <c r="F9" i="4"/>
  <c r="E9" i="4"/>
  <c r="D9" i="4"/>
  <c r="H7" i="4"/>
  <c r="G7" i="4"/>
  <c r="F7" i="4"/>
  <c r="E7" i="4"/>
  <c r="D7" i="4"/>
  <c r="J62" i="1"/>
  <c r="H10" i="4"/>
  <c r="G10" i="4"/>
  <c r="F10" i="4"/>
  <c r="E10" i="4"/>
  <c r="D10" i="4"/>
  <c r="G68" i="2"/>
  <c r="H68" i="2" s="1"/>
  <c r="D5" i="4"/>
  <c r="E5" i="4"/>
  <c r="F5" i="4"/>
  <c r="G5" i="4"/>
  <c r="H5" i="4"/>
  <c r="B119" i="2"/>
  <c r="E62" i="5" l="1"/>
  <c r="H62" i="5" s="1"/>
  <c r="I62" i="5" s="1"/>
  <c r="M44" i="5" s="1"/>
  <c r="N44" i="5" s="1"/>
  <c r="O44" i="5" s="1"/>
  <c r="C91" i="5"/>
  <c r="C95" i="5"/>
  <c r="F92" i="5"/>
  <c r="J92" i="5" s="1"/>
  <c r="G105" i="5" s="1"/>
  <c r="C94" i="5"/>
  <c r="E64" i="5"/>
  <c r="H64" i="5" s="1"/>
  <c r="I64" i="5" s="1"/>
  <c r="M49" i="5" s="1"/>
  <c r="N49" i="5" s="1"/>
  <c r="E67" i="5"/>
  <c r="E68" i="2"/>
  <c r="I328" i="2"/>
  <c r="J328" i="2" s="1"/>
  <c r="G328" i="2"/>
  <c r="H328" i="2" s="1"/>
  <c r="I458" i="2"/>
  <c r="J458" i="2" s="1"/>
  <c r="G458" i="2"/>
  <c r="H458" i="2" s="1"/>
  <c r="I393" i="2"/>
  <c r="J393" i="2" s="1"/>
  <c r="G393" i="2"/>
  <c r="H393" i="2" s="1"/>
  <c r="I523" i="2"/>
  <c r="J523" i="2" s="1"/>
  <c r="G523" i="2"/>
  <c r="H523" i="2" s="1"/>
  <c r="B575" i="2"/>
  <c r="B574" i="2"/>
  <c r="B510" i="2"/>
  <c r="B509" i="2"/>
  <c r="B445" i="2"/>
  <c r="B444" i="2"/>
  <c r="B380" i="2"/>
  <c r="B379" i="2"/>
  <c r="I198" i="2"/>
  <c r="J198" i="2" s="1"/>
  <c r="G198" i="2"/>
  <c r="H198" i="2" s="1"/>
  <c r="I133" i="2"/>
  <c r="J133" i="2" s="1"/>
  <c r="G133" i="2"/>
  <c r="H133" i="2" s="1"/>
  <c r="I263" i="2"/>
  <c r="J263" i="2" s="1"/>
  <c r="G263" i="2"/>
  <c r="H263" i="2" s="1"/>
  <c r="B315" i="2"/>
  <c r="B314" i="2"/>
  <c r="B250" i="2"/>
  <c r="B249" i="2"/>
  <c r="B185" i="2"/>
  <c r="B184" i="2"/>
  <c r="L48" i="5" l="1"/>
  <c r="P44" i="5"/>
  <c r="E63" i="5" s="1"/>
  <c r="F63" i="5" s="1"/>
  <c r="F62" i="5"/>
  <c r="C107" i="5"/>
  <c r="E107" i="5" s="1"/>
  <c r="F94" i="5"/>
  <c r="J94" i="5" s="1"/>
  <c r="G107" i="5" s="1"/>
  <c r="F64" i="5"/>
  <c r="E66" i="5"/>
  <c r="H66" i="5" s="1"/>
  <c r="I66" i="5" s="1"/>
  <c r="M57" i="5" s="1"/>
  <c r="N57" i="5" s="1"/>
  <c r="C108" i="5"/>
  <c r="E108" i="5" s="1"/>
  <c r="F95" i="5"/>
  <c r="J95" i="5" s="1"/>
  <c r="G108" i="5" s="1"/>
  <c r="C104" i="5"/>
  <c r="E104" i="5" s="1"/>
  <c r="F91" i="5"/>
  <c r="J91" i="5" s="1"/>
  <c r="G104" i="5" s="1"/>
  <c r="H67" i="5"/>
  <c r="I67" i="5" s="1"/>
  <c r="M58" i="5" s="1"/>
  <c r="N58" i="5" s="1"/>
  <c r="F67" i="5"/>
  <c r="E393" i="2"/>
  <c r="E263" i="2"/>
  <c r="E198" i="2"/>
  <c r="E523" i="2"/>
  <c r="E458" i="2"/>
  <c r="E328" i="2"/>
  <c r="E133" i="2"/>
  <c r="F66" i="5" l="1"/>
  <c r="H63" i="5"/>
  <c r="I63" i="5" s="1"/>
  <c r="M48" i="5" s="1"/>
  <c r="N48" i="5" s="1"/>
  <c r="O49" i="5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3" i="2"/>
  <c r="B3" i="2" a="1"/>
  <c r="L56" i="5" l="1"/>
  <c r="P49" i="5"/>
  <c r="E65" i="5" s="1"/>
  <c r="F65" i="5" s="1"/>
  <c r="B3" i="2"/>
  <c r="H65" i="5" l="1"/>
  <c r="I65" i="5" s="1"/>
  <c r="G3" i="2"/>
  <c r="H3" i="2" s="1"/>
  <c r="B54" i="2"/>
  <c r="B55" i="2"/>
  <c r="I3" i="2"/>
  <c r="J3" i="2" s="1"/>
  <c r="M56" i="5" l="1"/>
  <c r="N56" i="5" s="1"/>
  <c r="O58" i="5" s="1"/>
  <c r="P58" i="5" s="1"/>
  <c r="E68" i="5" s="1"/>
  <c r="E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E51" i="2"/>
  <c r="E46" i="2"/>
  <c r="E45" i="2"/>
  <c r="E40" i="2"/>
  <c r="E38" i="2"/>
  <c r="E37" i="2"/>
  <c r="E35" i="2"/>
  <c r="E34" i="2"/>
  <c r="E32" i="2"/>
  <c r="E31" i="2"/>
  <c r="E30" i="2"/>
  <c r="E29" i="2"/>
  <c r="E27" i="2"/>
  <c r="E26" i="2"/>
  <c r="E22" i="2"/>
  <c r="E21" i="2"/>
  <c r="E20" i="2"/>
  <c r="E17" i="2"/>
  <c r="E15" i="2"/>
  <c r="E13" i="2"/>
  <c r="E11" i="2"/>
  <c r="E9" i="2"/>
  <c r="E8" i="2"/>
  <c r="E6" i="2"/>
  <c r="E5" i="2"/>
  <c r="E4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F68" i="5" l="1"/>
  <c r="H68" i="5"/>
  <c r="I68" i="5" s="1"/>
  <c r="G320" i="2" a="1"/>
  <c r="G320" i="2" s="1"/>
  <c r="C320" i="2" a="1"/>
  <c r="G190" i="2" a="1"/>
  <c r="G190" i="2" s="1"/>
  <c r="C190" i="2" a="1"/>
  <c r="C190" i="2" s="1"/>
  <c r="C385" i="2" a="1"/>
  <c r="C385" i="2" s="1"/>
  <c r="G385" i="2" a="1"/>
  <c r="G385" i="2" s="1"/>
  <c r="G60" i="2" a="1"/>
  <c r="G60" i="2" s="1"/>
  <c r="C60" i="2" a="1"/>
  <c r="C60" i="2" s="1"/>
  <c r="G450" i="2" a="1"/>
  <c r="G450" i="2" s="1"/>
  <c r="C450" i="2" a="1"/>
  <c r="G255" i="2" a="1"/>
  <c r="G255" i="2" s="1"/>
  <c r="C255" i="2" a="1"/>
  <c r="C255" i="2" s="1"/>
  <c r="G580" i="2" a="1"/>
  <c r="G580" i="2" s="1"/>
  <c r="C580" i="2" a="1"/>
  <c r="C580" i="2" s="1"/>
  <c r="G515" i="2" a="1"/>
  <c r="G515" i="2" s="1"/>
  <c r="C515" i="2" a="1"/>
  <c r="C515" i="2" s="1"/>
  <c r="G125" i="2" a="1"/>
  <c r="G125" i="2" s="1"/>
  <c r="C125" i="2" a="1"/>
  <c r="C125" i="2" s="1"/>
  <c r="I39" i="2"/>
  <c r="J39" i="2" s="1"/>
  <c r="G39" i="2"/>
  <c r="H39" i="2" s="1"/>
  <c r="I70" i="2"/>
  <c r="J70" i="2" s="1"/>
  <c r="G70" i="2"/>
  <c r="H70" i="2" s="1"/>
  <c r="E70" i="2"/>
  <c r="I102" i="2"/>
  <c r="J102" i="2" s="1"/>
  <c r="G102" i="2"/>
  <c r="H102" i="2" s="1"/>
  <c r="E102" i="2"/>
  <c r="G141" i="2"/>
  <c r="H141" i="2" s="1"/>
  <c r="I141" i="2"/>
  <c r="J141" i="2" s="1"/>
  <c r="E141" i="2"/>
  <c r="G157" i="2"/>
  <c r="H157" i="2" s="1"/>
  <c r="I157" i="2"/>
  <c r="J157" i="2" s="1"/>
  <c r="E157" i="2"/>
  <c r="G181" i="2"/>
  <c r="H181" i="2" s="1"/>
  <c r="I181" i="2"/>
  <c r="J181" i="2" s="1"/>
  <c r="E181" i="2"/>
  <c r="G204" i="2"/>
  <c r="H204" i="2" s="1"/>
  <c r="I204" i="2"/>
  <c r="J204" i="2" s="1"/>
  <c r="E204" i="2"/>
  <c r="G220" i="2"/>
  <c r="H220" i="2" s="1"/>
  <c r="I220" i="2"/>
  <c r="J220" i="2" s="1"/>
  <c r="E220" i="2"/>
  <c r="I244" i="2"/>
  <c r="J244" i="2" s="1"/>
  <c r="G244" i="2"/>
  <c r="H244" i="2" s="1"/>
  <c r="E244" i="2"/>
  <c r="I275" i="2"/>
  <c r="J275" i="2" s="1"/>
  <c r="G275" i="2"/>
  <c r="H275" i="2" s="1"/>
  <c r="E275" i="2"/>
  <c r="G291" i="2"/>
  <c r="H291" i="2" s="1"/>
  <c r="I291" i="2"/>
  <c r="J291" i="2" s="1"/>
  <c r="E291" i="2"/>
  <c r="G307" i="2"/>
  <c r="H307" i="2" s="1"/>
  <c r="I307" i="2"/>
  <c r="J307" i="2" s="1"/>
  <c r="E307" i="2"/>
  <c r="I330" i="2"/>
  <c r="J330" i="2" s="1"/>
  <c r="G330" i="2"/>
  <c r="H330" i="2" s="1"/>
  <c r="E330" i="2"/>
  <c r="G354" i="2"/>
  <c r="H354" i="2" s="1"/>
  <c r="I354" i="2"/>
  <c r="J354" i="2" s="1"/>
  <c r="E354" i="2"/>
  <c r="G401" i="2"/>
  <c r="H401" i="2" s="1"/>
  <c r="I401" i="2"/>
  <c r="J401" i="2" s="1"/>
  <c r="E401" i="2"/>
  <c r="I425" i="2"/>
  <c r="J425" i="2" s="1"/>
  <c r="G425" i="2"/>
  <c r="H425" i="2" s="1"/>
  <c r="E425" i="2"/>
  <c r="I472" i="2"/>
  <c r="J472" i="2" s="1"/>
  <c r="G472" i="2"/>
  <c r="H472" i="2" s="1"/>
  <c r="E472" i="2"/>
  <c r="G480" i="2"/>
  <c r="H480" i="2" s="1"/>
  <c r="I480" i="2"/>
  <c r="J480" i="2" s="1"/>
  <c r="E480" i="2"/>
  <c r="I496" i="2"/>
  <c r="J496" i="2" s="1"/>
  <c r="G496" i="2"/>
  <c r="H496" i="2" s="1"/>
  <c r="E496" i="2"/>
  <c r="G543" i="2"/>
  <c r="H543" i="2" s="1"/>
  <c r="I543" i="2"/>
  <c r="J543" i="2" s="1"/>
  <c r="E543" i="2"/>
  <c r="I559" i="2"/>
  <c r="J559" i="2" s="1"/>
  <c r="G559" i="2"/>
  <c r="H559" i="2" s="1"/>
  <c r="E559" i="2"/>
  <c r="I24" i="2"/>
  <c r="J24" i="2" s="1"/>
  <c r="G24" i="2"/>
  <c r="H24" i="2" s="1"/>
  <c r="G103" i="2"/>
  <c r="H103" i="2" s="1"/>
  <c r="I103" i="2"/>
  <c r="J103" i="2" s="1"/>
  <c r="E103" i="2"/>
  <c r="G174" i="2"/>
  <c r="H174" i="2" s="1"/>
  <c r="I174" i="2"/>
  <c r="J174" i="2" s="1"/>
  <c r="E174" i="2"/>
  <c r="I213" i="2"/>
  <c r="J213" i="2" s="1"/>
  <c r="G213" i="2"/>
  <c r="H213" i="2" s="1"/>
  <c r="E213" i="2"/>
  <c r="I268" i="2"/>
  <c r="J268" i="2" s="1"/>
  <c r="G268" i="2"/>
  <c r="H268" i="2" s="1"/>
  <c r="E268" i="2"/>
  <c r="G308" i="2"/>
  <c r="H308" i="2" s="1"/>
  <c r="I308" i="2"/>
  <c r="J308" i="2" s="1"/>
  <c r="E308" i="2"/>
  <c r="I363" i="2"/>
  <c r="J363" i="2" s="1"/>
  <c r="G363" i="2"/>
  <c r="H363" i="2" s="1"/>
  <c r="E363" i="2"/>
  <c r="I9" i="2"/>
  <c r="J9" i="2" s="1"/>
  <c r="G9" i="2"/>
  <c r="H9" i="2" s="1"/>
  <c r="I17" i="2"/>
  <c r="J17" i="2" s="1"/>
  <c r="G17" i="2"/>
  <c r="H17" i="2" s="1"/>
  <c r="I25" i="2"/>
  <c r="J25" i="2" s="1"/>
  <c r="G25" i="2"/>
  <c r="H25" i="2" s="1"/>
  <c r="G33" i="2"/>
  <c r="H33" i="2" s="1"/>
  <c r="I33" i="2"/>
  <c r="J33" i="2" s="1"/>
  <c r="I41" i="2"/>
  <c r="J41" i="2" s="1"/>
  <c r="G41" i="2"/>
  <c r="H41" i="2" s="1"/>
  <c r="I49" i="2"/>
  <c r="J49" i="2" s="1"/>
  <c r="G49" i="2"/>
  <c r="H49" i="2" s="1"/>
  <c r="I72" i="2"/>
  <c r="J72" i="2" s="1"/>
  <c r="G72" i="2"/>
  <c r="H72" i="2" s="1"/>
  <c r="E72" i="2"/>
  <c r="I80" i="2"/>
  <c r="J80" i="2" s="1"/>
  <c r="G80" i="2"/>
  <c r="H80" i="2" s="1"/>
  <c r="E80" i="2"/>
  <c r="I88" i="2"/>
  <c r="J88" i="2" s="1"/>
  <c r="G88" i="2"/>
  <c r="H88" i="2" s="1"/>
  <c r="E88" i="2"/>
  <c r="I96" i="2"/>
  <c r="J96" i="2" s="1"/>
  <c r="G96" i="2"/>
  <c r="H96" i="2" s="1"/>
  <c r="E96" i="2"/>
  <c r="I104" i="2"/>
  <c r="J104" i="2" s="1"/>
  <c r="G104" i="2"/>
  <c r="H104" i="2" s="1"/>
  <c r="E104" i="2"/>
  <c r="I112" i="2"/>
  <c r="J112" i="2" s="1"/>
  <c r="G112" i="2"/>
  <c r="H112" i="2" s="1"/>
  <c r="E112" i="2"/>
  <c r="I135" i="2"/>
  <c r="J135" i="2" s="1"/>
  <c r="G135" i="2"/>
  <c r="H135" i="2" s="1"/>
  <c r="E135" i="2"/>
  <c r="I143" i="2"/>
  <c r="J143" i="2" s="1"/>
  <c r="G143" i="2"/>
  <c r="H143" i="2" s="1"/>
  <c r="E143" i="2"/>
  <c r="I151" i="2"/>
  <c r="J151" i="2" s="1"/>
  <c r="G151" i="2"/>
  <c r="H151" i="2" s="1"/>
  <c r="E151" i="2"/>
  <c r="G159" i="2"/>
  <c r="H159" i="2" s="1"/>
  <c r="I159" i="2"/>
  <c r="J159" i="2" s="1"/>
  <c r="E159" i="2"/>
  <c r="I167" i="2"/>
  <c r="J167" i="2" s="1"/>
  <c r="G167" i="2"/>
  <c r="H167" i="2" s="1"/>
  <c r="E167" i="2"/>
  <c r="G175" i="2"/>
  <c r="H175" i="2" s="1"/>
  <c r="I175" i="2"/>
  <c r="J175" i="2" s="1"/>
  <c r="E175" i="2"/>
  <c r="I206" i="2"/>
  <c r="J206" i="2" s="1"/>
  <c r="G206" i="2"/>
  <c r="H206" i="2" s="1"/>
  <c r="E206" i="2"/>
  <c r="G214" i="2"/>
  <c r="H214" i="2" s="1"/>
  <c r="I214" i="2"/>
  <c r="J214" i="2" s="1"/>
  <c r="E214" i="2"/>
  <c r="I222" i="2"/>
  <c r="J222" i="2" s="1"/>
  <c r="G222" i="2"/>
  <c r="H222" i="2" s="1"/>
  <c r="E222" i="2"/>
  <c r="I230" i="2"/>
  <c r="J230" i="2" s="1"/>
  <c r="G230" i="2"/>
  <c r="H230" i="2" s="1"/>
  <c r="E230" i="2"/>
  <c r="I238" i="2"/>
  <c r="J238" i="2" s="1"/>
  <c r="G238" i="2"/>
  <c r="H238" i="2" s="1"/>
  <c r="E238" i="2"/>
  <c r="G246" i="2"/>
  <c r="H246" i="2" s="1"/>
  <c r="I246" i="2"/>
  <c r="J246" i="2" s="1"/>
  <c r="E246" i="2"/>
  <c r="G269" i="2"/>
  <c r="H269" i="2" s="1"/>
  <c r="I269" i="2"/>
  <c r="J269" i="2" s="1"/>
  <c r="E269" i="2"/>
  <c r="G277" i="2"/>
  <c r="H277" i="2" s="1"/>
  <c r="I277" i="2"/>
  <c r="J277" i="2" s="1"/>
  <c r="E277" i="2"/>
  <c r="I285" i="2"/>
  <c r="J285" i="2" s="1"/>
  <c r="G285" i="2"/>
  <c r="H285" i="2" s="1"/>
  <c r="E285" i="2"/>
  <c r="G293" i="2"/>
  <c r="H293" i="2" s="1"/>
  <c r="I293" i="2"/>
  <c r="J293" i="2" s="1"/>
  <c r="E293" i="2"/>
  <c r="I301" i="2"/>
  <c r="J301" i="2" s="1"/>
  <c r="G301" i="2"/>
  <c r="H301" i="2" s="1"/>
  <c r="E301" i="2"/>
  <c r="I309" i="2"/>
  <c r="J309" i="2" s="1"/>
  <c r="G309" i="2"/>
  <c r="H309" i="2" s="1"/>
  <c r="E309" i="2"/>
  <c r="I332" i="2"/>
  <c r="J332" i="2" s="1"/>
  <c r="G332" i="2"/>
  <c r="H332" i="2" s="1"/>
  <c r="E332" i="2"/>
  <c r="I340" i="2"/>
  <c r="J340" i="2" s="1"/>
  <c r="G340" i="2"/>
  <c r="H340" i="2" s="1"/>
  <c r="E340" i="2"/>
  <c r="I348" i="2"/>
  <c r="J348" i="2" s="1"/>
  <c r="G348" i="2"/>
  <c r="H348" i="2" s="1"/>
  <c r="E348" i="2"/>
  <c r="G356" i="2"/>
  <c r="H356" i="2" s="1"/>
  <c r="I356" i="2"/>
  <c r="J356" i="2" s="1"/>
  <c r="E356" i="2"/>
  <c r="G364" i="2"/>
  <c r="H364" i="2" s="1"/>
  <c r="I364" i="2"/>
  <c r="J364" i="2" s="1"/>
  <c r="E364" i="2"/>
  <c r="G372" i="2"/>
  <c r="H372" i="2" s="1"/>
  <c r="I372" i="2"/>
  <c r="J372" i="2" s="1"/>
  <c r="E372" i="2"/>
  <c r="G395" i="2"/>
  <c r="H395" i="2" s="1"/>
  <c r="I395" i="2"/>
  <c r="J395" i="2" s="1"/>
  <c r="E395" i="2"/>
  <c r="I403" i="2"/>
  <c r="J403" i="2" s="1"/>
  <c r="G403" i="2"/>
  <c r="H403" i="2" s="1"/>
  <c r="E403" i="2"/>
  <c r="I411" i="2"/>
  <c r="J411" i="2" s="1"/>
  <c r="G411" i="2"/>
  <c r="H411" i="2" s="1"/>
  <c r="E411" i="2"/>
  <c r="G419" i="2"/>
  <c r="H419" i="2" s="1"/>
  <c r="I419" i="2"/>
  <c r="J419" i="2" s="1"/>
  <c r="E419" i="2"/>
  <c r="G427" i="2"/>
  <c r="H427" i="2" s="1"/>
  <c r="I427" i="2"/>
  <c r="J427" i="2" s="1"/>
  <c r="E427" i="2"/>
  <c r="G435" i="2"/>
  <c r="H435" i="2" s="1"/>
  <c r="I435" i="2"/>
  <c r="J435" i="2" s="1"/>
  <c r="E435" i="2"/>
  <c r="I466" i="2"/>
  <c r="J466" i="2" s="1"/>
  <c r="G466" i="2"/>
  <c r="H466" i="2" s="1"/>
  <c r="E466" i="2"/>
  <c r="G474" i="2"/>
  <c r="H474" i="2" s="1"/>
  <c r="I474" i="2"/>
  <c r="J474" i="2" s="1"/>
  <c r="E474" i="2"/>
  <c r="G482" i="2"/>
  <c r="H482" i="2" s="1"/>
  <c r="I482" i="2"/>
  <c r="J482" i="2" s="1"/>
  <c r="E482" i="2"/>
  <c r="I490" i="2"/>
  <c r="J490" i="2" s="1"/>
  <c r="G490" i="2"/>
  <c r="H490" i="2" s="1"/>
  <c r="E490" i="2"/>
  <c r="I498" i="2"/>
  <c r="J498" i="2" s="1"/>
  <c r="G498" i="2"/>
  <c r="H498" i="2" s="1"/>
  <c r="E498" i="2"/>
  <c r="G506" i="2"/>
  <c r="H506" i="2" s="1"/>
  <c r="I506" i="2"/>
  <c r="J506" i="2" s="1"/>
  <c r="E506" i="2"/>
  <c r="G529" i="2"/>
  <c r="H529" i="2" s="1"/>
  <c r="I529" i="2"/>
  <c r="J529" i="2" s="1"/>
  <c r="E529" i="2"/>
  <c r="I537" i="2"/>
  <c r="J537" i="2" s="1"/>
  <c r="G537" i="2"/>
  <c r="H537" i="2" s="1"/>
  <c r="E537" i="2"/>
  <c r="G545" i="2"/>
  <c r="H545" i="2" s="1"/>
  <c r="I545" i="2"/>
  <c r="J545" i="2" s="1"/>
  <c r="E545" i="2"/>
  <c r="I553" i="2"/>
  <c r="J553" i="2" s="1"/>
  <c r="G553" i="2"/>
  <c r="H553" i="2" s="1"/>
  <c r="E553" i="2"/>
  <c r="I561" i="2"/>
  <c r="J561" i="2" s="1"/>
  <c r="G561" i="2"/>
  <c r="H561" i="2" s="1"/>
  <c r="E561" i="2"/>
  <c r="G569" i="2"/>
  <c r="H569" i="2" s="1"/>
  <c r="I569" i="2"/>
  <c r="J569" i="2" s="1"/>
  <c r="E569" i="2"/>
  <c r="E24" i="2"/>
  <c r="E33" i="2"/>
  <c r="I23" i="2"/>
  <c r="J23" i="2" s="1"/>
  <c r="G23" i="2"/>
  <c r="H23" i="2" s="1"/>
  <c r="I267" i="2"/>
  <c r="J267" i="2" s="1"/>
  <c r="G267" i="2"/>
  <c r="H267" i="2" s="1"/>
  <c r="E267" i="2"/>
  <c r="G338" i="2"/>
  <c r="H338" i="2" s="1"/>
  <c r="I338" i="2"/>
  <c r="J338" i="2" s="1"/>
  <c r="E338" i="2"/>
  <c r="G370" i="2"/>
  <c r="H370" i="2" s="1"/>
  <c r="I370" i="2"/>
  <c r="J370" i="2" s="1"/>
  <c r="E370" i="2"/>
  <c r="I417" i="2"/>
  <c r="J417" i="2" s="1"/>
  <c r="G417" i="2"/>
  <c r="H417" i="2" s="1"/>
  <c r="E417" i="2"/>
  <c r="G441" i="2"/>
  <c r="H441" i="2" s="1"/>
  <c r="I441" i="2"/>
  <c r="J441" i="2" s="1"/>
  <c r="E441" i="2"/>
  <c r="G464" i="2"/>
  <c r="H464" i="2" s="1"/>
  <c r="I464" i="2"/>
  <c r="J464" i="2" s="1"/>
  <c r="E464" i="2"/>
  <c r="I527" i="2"/>
  <c r="J527" i="2" s="1"/>
  <c r="G527" i="2"/>
  <c r="H527" i="2" s="1"/>
  <c r="E527" i="2"/>
  <c r="G551" i="2"/>
  <c r="H551" i="2" s="1"/>
  <c r="I551" i="2"/>
  <c r="J551" i="2" s="1"/>
  <c r="E551" i="2"/>
  <c r="I567" i="2"/>
  <c r="J567" i="2" s="1"/>
  <c r="G567" i="2"/>
  <c r="H567" i="2" s="1"/>
  <c r="E567" i="2"/>
  <c r="I71" i="2"/>
  <c r="J71" i="2" s="1"/>
  <c r="G71" i="2"/>
  <c r="H71" i="2" s="1"/>
  <c r="E71" i="2"/>
  <c r="G142" i="2"/>
  <c r="H142" i="2" s="1"/>
  <c r="I142" i="2"/>
  <c r="J142" i="2" s="1"/>
  <c r="E142" i="2"/>
  <c r="I166" i="2"/>
  <c r="J166" i="2" s="1"/>
  <c r="G166" i="2"/>
  <c r="H166" i="2" s="1"/>
  <c r="E166" i="2"/>
  <c r="I205" i="2"/>
  <c r="J205" i="2" s="1"/>
  <c r="G205" i="2"/>
  <c r="H205" i="2" s="1"/>
  <c r="E205" i="2"/>
  <c r="G221" i="2"/>
  <c r="H221" i="2" s="1"/>
  <c r="I221" i="2"/>
  <c r="J221" i="2" s="1"/>
  <c r="E221" i="2"/>
  <c r="I245" i="2"/>
  <c r="J245" i="2" s="1"/>
  <c r="G245" i="2"/>
  <c r="H245" i="2" s="1"/>
  <c r="E245" i="2"/>
  <c r="I284" i="2"/>
  <c r="J284" i="2" s="1"/>
  <c r="G284" i="2"/>
  <c r="H284" i="2" s="1"/>
  <c r="E284" i="2"/>
  <c r="G339" i="2"/>
  <c r="H339" i="2" s="1"/>
  <c r="I339" i="2"/>
  <c r="J339" i="2" s="1"/>
  <c r="E339" i="2"/>
  <c r="G394" i="2"/>
  <c r="H394" i="2" s="1"/>
  <c r="I394" i="2"/>
  <c r="J394" i="2" s="1"/>
  <c r="E394" i="2"/>
  <c r="I10" i="2"/>
  <c r="J10" i="2" s="1"/>
  <c r="G10" i="2"/>
  <c r="H10" i="2" s="1"/>
  <c r="I18" i="2"/>
  <c r="J18" i="2" s="1"/>
  <c r="G18" i="2"/>
  <c r="H18" i="2" s="1"/>
  <c r="G26" i="2"/>
  <c r="H26" i="2" s="1"/>
  <c r="I26" i="2"/>
  <c r="J26" i="2" s="1"/>
  <c r="I34" i="2"/>
  <c r="J34" i="2" s="1"/>
  <c r="G34" i="2"/>
  <c r="H34" i="2" s="1"/>
  <c r="I42" i="2"/>
  <c r="J42" i="2" s="1"/>
  <c r="G42" i="2"/>
  <c r="H42" i="2" s="1"/>
  <c r="I50" i="2"/>
  <c r="J50" i="2" s="1"/>
  <c r="G50" i="2"/>
  <c r="H50" i="2" s="1"/>
  <c r="I73" i="2"/>
  <c r="J73" i="2" s="1"/>
  <c r="G73" i="2"/>
  <c r="H73" i="2" s="1"/>
  <c r="E73" i="2"/>
  <c r="G81" i="2"/>
  <c r="H81" i="2" s="1"/>
  <c r="I81" i="2"/>
  <c r="J81" i="2" s="1"/>
  <c r="E81" i="2"/>
  <c r="I89" i="2"/>
  <c r="J89" i="2" s="1"/>
  <c r="G89" i="2"/>
  <c r="H89" i="2" s="1"/>
  <c r="E89" i="2"/>
  <c r="G97" i="2"/>
  <c r="H97" i="2" s="1"/>
  <c r="I97" i="2"/>
  <c r="J97" i="2" s="1"/>
  <c r="E97" i="2"/>
  <c r="G105" i="2"/>
  <c r="H105" i="2" s="1"/>
  <c r="I105" i="2"/>
  <c r="J105" i="2" s="1"/>
  <c r="E105" i="2"/>
  <c r="G113" i="2"/>
  <c r="H113" i="2" s="1"/>
  <c r="I113" i="2"/>
  <c r="J113" i="2" s="1"/>
  <c r="E113" i="2"/>
  <c r="I136" i="2"/>
  <c r="J136" i="2" s="1"/>
  <c r="G136" i="2"/>
  <c r="H136" i="2" s="1"/>
  <c r="E136" i="2"/>
  <c r="G144" i="2"/>
  <c r="H144" i="2" s="1"/>
  <c r="I144" i="2"/>
  <c r="J144" i="2" s="1"/>
  <c r="E144" i="2"/>
  <c r="G152" i="2"/>
  <c r="H152" i="2" s="1"/>
  <c r="I152" i="2"/>
  <c r="J152" i="2" s="1"/>
  <c r="E152" i="2"/>
  <c r="G160" i="2"/>
  <c r="H160" i="2" s="1"/>
  <c r="I160" i="2"/>
  <c r="J160" i="2" s="1"/>
  <c r="E160" i="2"/>
  <c r="G168" i="2"/>
  <c r="H168" i="2" s="1"/>
  <c r="I168" i="2"/>
  <c r="J168" i="2" s="1"/>
  <c r="E168" i="2"/>
  <c r="I176" i="2"/>
  <c r="J176" i="2" s="1"/>
  <c r="G176" i="2"/>
  <c r="H176" i="2" s="1"/>
  <c r="E176" i="2"/>
  <c r="I199" i="2"/>
  <c r="J199" i="2" s="1"/>
  <c r="G199" i="2"/>
  <c r="H199" i="2" s="1"/>
  <c r="E199" i="2"/>
  <c r="I207" i="2"/>
  <c r="J207" i="2" s="1"/>
  <c r="G207" i="2"/>
  <c r="H207" i="2" s="1"/>
  <c r="E207" i="2"/>
  <c r="G215" i="2"/>
  <c r="H215" i="2" s="1"/>
  <c r="I215" i="2"/>
  <c r="J215" i="2" s="1"/>
  <c r="E215" i="2"/>
  <c r="I223" i="2"/>
  <c r="J223" i="2" s="1"/>
  <c r="G223" i="2"/>
  <c r="H223" i="2" s="1"/>
  <c r="E223" i="2"/>
  <c r="I231" i="2"/>
  <c r="J231" i="2" s="1"/>
  <c r="G231" i="2"/>
  <c r="H231" i="2" s="1"/>
  <c r="E231" i="2"/>
  <c r="G239" i="2"/>
  <c r="H239" i="2" s="1"/>
  <c r="I239" i="2"/>
  <c r="J239" i="2" s="1"/>
  <c r="E239" i="2"/>
  <c r="I247" i="2"/>
  <c r="J247" i="2" s="1"/>
  <c r="G247" i="2"/>
  <c r="H247" i="2" s="1"/>
  <c r="E247" i="2"/>
  <c r="G270" i="2"/>
  <c r="H270" i="2" s="1"/>
  <c r="I270" i="2"/>
  <c r="J270" i="2" s="1"/>
  <c r="E270" i="2"/>
  <c r="G278" i="2"/>
  <c r="H278" i="2" s="1"/>
  <c r="I278" i="2"/>
  <c r="J278" i="2" s="1"/>
  <c r="E278" i="2"/>
  <c r="I286" i="2"/>
  <c r="J286" i="2" s="1"/>
  <c r="G286" i="2"/>
  <c r="H286" i="2" s="1"/>
  <c r="E286" i="2"/>
  <c r="G294" i="2"/>
  <c r="H294" i="2" s="1"/>
  <c r="I294" i="2"/>
  <c r="J294" i="2" s="1"/>
  <c r="E294" i="2"/>
  <c r="I302" i="2"/>
  <c r="J302" i="2" s="1"/>
  <c r="G302" i="2"/>
  <c r="H302" i="2" s="1"/>
  <c r="E302" i="2"/>
  <c r="I310" i="2"/>
  <c r="J310" i="2" s="1"/>
  <c r="G310" i="2"/>
  <c r="H310" i="2" s="1"/>
  <c r="E310" i="2"/>
  <c r="G333" i="2"/>
  <c r="H333" i="2" s="1"/>
  <c r="I333" i="2"/>
  <c r="J333" i="2" s="1"/>
  <c r="E333" i="2"/>
  <c r="G341" i="2"/>
  <c r="H341" i="2" s="1"/>
  <c r="I341" i="2"/>
  <c r="J341" i="2" s="1"/>
  <c r="E341" i="2"/>
  <c r="I349" i="2"/>
  <c r="J349" i="2" s="1"/>
  <c r="G349" i="2"/>
  <c r="H349" i="2" s="1"/>
  <c r="E349" i="2"/>
  <c r="G357" i="2"/>
  <c r="H357" i="2" s="1"/>
  <c r="I357" i="2"/>
  <c r="J357" i="2" s="1"/>
  <c r="E357" i="2"/>
  <c r="G365" i="2"/>
  <c r="H365" i="2" s="1"/>
  <c r="I365" i="2"/>
  <c r="J365" i="2" s="1"/>
  <c r="E365" i="2"/>
  <c r="G373" i="2"/>
  <c r="H373" i="2" s="1"/>
  <c r="I373" i="2"/>
  <c r="J373" i="2" s="1"/>
  <c r="E373" i="2"/>
  <c r="I396" i="2"/>
  <c r="J396" i="2" s="1"/>
  <c r="G396" i="2"/>
  <c r="H396" i="2" s="1"/>
  <c r="E396" i="2"/>
  <c r="G404" i="2"/>
  <c r="H404" i="2" s="1"/>
  <c r="I404" i="2"/>
  <c r="J404" i="2" s="1"/>
  <c r="E404" i="2"/>
  <c r="G412" i="2"/>
  <c r="H412" i="2" s="1"/>
  <c r="I412" i="2"/>
  <c r="J412" i="2" s="1"/>
  <c r="E412" i="2"/>
  <c r="G420" i="2"/>
  <c r="H420" i="2" s="1"/>
  <c r="I420" i="2"/>
  <c r="J420" i="2" s="1"/>
  <c r="E420" i="2"/>
  <c r="G428" i="2"/>
  <c r="H428" i="2" s="1"/>
  <c r="I428" i="2"/>
  <c r="J428" i="2" s="1"/>
  <c r="E428" i="2"/>
  <c r="G436" i="2"/>
  <c r="H436" i="2" s="1"/>
  <c r="I436" i="2"/>
  <c r="J436" i="2" s="1"/>
  <c r="E436" i="2"/>
  <c r="I459" i="2"/>
  <c r="J459" i="2" s="1"/>
  <c r="G459" i="2"/>
  <c r="H459" i="2" s="1"/>
  <c r="E459" i="2"/>
  <c r="G467" i="2"/>
  <c r="H467" i="2" s="1"/>
  <c r="I467" i="2"/>
  <c r="J467" i="2" s="1"/>
  <c r="E467" i="2"/>
  <c r="I475" i="2"/>
  <c r="J475" i="2" s="1"/>
  <c r="G475" i="2"/>
  <c r="H475" i="2" s="1"/>
  <c r="E475" i="2"/>
  <c r="G483" i="2"/>
  <c r="H483" i="2" s="1"/>
  <c r="I483" i="2"/>
  <c r="J483" i="2" s="1"/>
  <c r="E483" i="2"/>
  <c r="I491" i="2"/>
  <c r="J491" i="2" s="1"/>
  <c r="G491" i="2"/>
  <c r="H491" i="2" s="1"/>
  <c r="E491" i="2"/>
  <c r="G499" i="2"/>
  <c r="H499" i="2" s="1"/>
  <c r="I499" i="2"/>
  <c r="J499" i="2" s="1"/>
  <c r="E499" i="2"/>
  <c r="G507" i="2"/>
  <c r="H507" i="2" s="1"/>
  <c r="I507" i="2"/>
  <c r="J507" i="2" s="1"/>
  <c r="E507" i="2"/>
  <c r="G530" i="2"/>
  <c r="H530" i="2" s="1"/>
  <c r="I530" i="2"/>
  <c r="J530" i="2" s="1"/>
  <c r="E530" i="2"/>
  <c r="G538" i="2"/>
  <c r="H538" i="2" s="1"/>
  <c r="I538" i="2"/>
  <c r="J538" i="2" s="1"/>
  <c r="E538" i="2"/>
  <c r="I546" i="2"/>
  <c r="J546" i="2" s="1"/>
  <c r="G546" i="2"/>
  <c r="H546" i="2" s="1"/>
  <c r="E546" i="2"/>
  <c r="G554" i="2"/>
  <c r="H554" i="2" s="1"/>
  <c r="I554" i="2"/>
  <c r="J554" i="2" s="1"/>
  <c r="E554" i="2"/>
  <c r="I562" i="2"/>
  <c r="J562" i="2" s="1"/>
  <c r="G562" i="2"/>
  <c r="H562" i="2" s="1"/>
  <c r="E562" i="2"/>
  <c r="G570" i="2"/>
  <c r="H570" i="2" s="1"/>
  <c r="I570" i="2"/>
  <c r="J570" i="2" s="1"/>
  <c r="E570" i="2"/>
  <c r="E39" i="2"/>
  <c r="E10" i="2"/>
  <c r="I7" i="2"/>
  <c r="J7" i="2" s="1"/>
  <c r="G7" i="2"/>
  <c r="H7" i="2" s="1"/>
  <c r="G165" i="2"/>
  <c r="H165" i="2" s="1"/>
  <c r="I165" i="2"/>
  <c r="J165" i="2" s="1"/>
  <c r="E165" i="2"/>
  <c r="G228" i="2"/>
  <c r="H228" i="2" s="1"/>
  <c r="I228" i="2"/>
  <c r="J228" i="2" s="1"/>
  <c r="E228" i="2"/>
  <c r="G362" i="2"/>
  <c r="H362" i="2" s="1"/>
  <c r="I362" i="2"/>
  <c r="J362" i="2" s="1"/>
  <c r="E362" i="2"/>
  <c r="G32" i="2"/>
  <c r="H32" i="2" s="1"/>
  <c r="I32" i="2"/>
  <c r="J32" i="2" s="1"/>
  <c r="I150" i="2"/>
  <c r="J150" i="2" s="1"/>
  <c r="G150" i="2"/>
  <c r="H150" i="2" s="1"/>
  <c r="E150" i="2"/>
  <c r="G276" i="2"/>
  <c r="H276" i="2" s="1"/>
  <c r="I276" i="2"/>
  <c r="J276" i="2" s="1"/>
  <c r="E276" i="2"/>
  <c r="G347" i="2"/>
  <c r="H347" i="2" s="1"/>
  <c r="I347" i="2"/>
  <c r="J347" i="2" s="1"/>
  <c r="E347" i="2"/>
  <c r="G410" i="2"/>
  <c r="H410" i="2" s="1"/>
  <c r="I410" i="2"/>
  <c r="J410" i="2" s="1"/>
  <c r="E410" i="2"/>
  <c r="I465" i="2"/>
  <c r="J465" i="2" s="1"/>
  <c r="G465" i="2"/>
  <c r="H465" i="2" s="1"/>
  <c r="E465" i="2"/>
  <c r="G473" i="2"/>
  <c r="H473" i="2" s="1"/>
  <c r="I473" i="2"/>
  <c r="J473" i="2" s="1"/>
  <c r="E473" i="2"/>
  <c r="I497" i="2"/>
  <c r="J497" i="2" s="1"/>
  <c r="G497" i="2"/>
  <c r="H497" i="2" s="1"/>
  <c r="E497" i="2"/>
  <c r="G505" i="2"/>
  <c r="H505" i="2" s="1"/>
  <c r="I505" i="2"/>
  <c r="J505" i="2" s="1"/>
  <c r="E505" i="2"/>
  <c r="I528" i="2"/>
  <c r="J528" i="2" s="1"/>
  <c r="G528" i="2"/>
  <c r="H528" i="2" s="1"/>
  <c r="E528" i="2"/>
  <c r="I544" i="2"/>
  <c r="J544" i="2" s="1"/>
  <c r="G544" i="2"/>
  <c r="H544" i="2" s="1"/>
  <c r="E544" i="2"/>
  <c r="I560" i="2"/>
  <c r="J560" i="2" s="1"/>
  <c r="G560" i="2"/>
  <c r="H560" i="2" s="1"/>
  <c r="E560" i="2"/>
  <c r="I11" i="2"/>
  <c r="J11" i="2" s="1"/>
  <c r="G11" i="2"/>
  <c r="H11" i="2" s="1"/>
  <c r="I19" i="2"/>
  <c r="J19" i="2" s="1"/>
  <c r="G19" i="2"/>
  <c r="H19" i="2" s="1"/>
  <c r="I27" i="2"/>
  <c r="J27" i="2" s="1"/>
  <c r="G27" i="2"/>
  <c r="H27" i="2" s="1"/>
  <c r="G35" i="2"/>
  <c r="H35" i="2" s="1"/>
  <c r="I35" i="2"/>
  <c r="J35" i="2" s="1"/>
  <c r="G43" i="2"/>
  <c r="H43" i="2" s="1"/>
  <c r="I43" i="2"/>
  <c r="J43" i="2" s="1"/>
  <c r="G51" i="2"/>
  <c r="H51" i="2" s="1"/>
  <c r="I51" i="2"/>
  <c r="J51" i="2" s="1"/>
  <c r="I74" i="2"/>
  <c r="J74" i="2" s="1"/>
  <c r="G74" i="2"/>
  <c r="H74" i="2" s="1"/>
  <c r="E74" i="2"/>
  <c r="G82" i="2"/>
  <c r="H82" i="2" s="1"/>
  <c r="I82" i="2"/>
  <c r="J82" i="2" s="1"/>
  <c r="E82" i="2"/>
  <c r="G90" i="2"/>
  <c r="H90" i="2" s="1"/>
  <c r="I90" i="2"/>
  <c r="J90" i="2" s="1"/>
  <c r="E90" i="2"/>
  <c r="G98" i="2"/>
  <c r="H98" i="2" s="1"/>
  <c r="I98" i="2"/>
  <c r="J98" i="2" s="1"/>
  <c r="E98" i="2"/>
  <c r="G106" i="2"/>
  <c r="H106" i="2" s="1"/>
  <c r="I106" i="2"/>
  <c r="J106" i="2" s="1"/>
  <c r="E106" i="2"/>
  <c r="I114" i="2"/>
  <c r="J114" i="2" s="1"/>
  <c r="G114" i="2"/>
  <c r="H114" i="2" s="1"/>
  <c r="E114" i="2"/>
  <c r="G137" i="2"/>
  <c r="H137" i="2" s="1"/>
  <c r="I137" i="2"/>
  <c r="J137" i="2" s="1"/>
  <c r="E137" i="2"/>
  <c r="G145" i="2"/>
  <c r="H145" i="2" s="1"/>
  <c r="I145" i="2"/>
  <c r="J145" i="2" s="1"/>
  <c r="E145" i="2"/>
  <c r="I153" i="2"/>
  <c r="J153" i="2" s="1"/>
  <c r="G153" i="2"/>
  <c r="H153" i="2" s="1"/>
  <c r="E153" i="2"/>
  <c r="G161" i="2"/>
  <c r="H161" i="2" s="1"/>
  <c r="I161" i="2"/>
  <c r="J161" i="2" s="1"/>
  <c r="E161" i="2"/>
  <c r="I169" i="2"/>
  <c r="J169" i="2" s="1"/>
  <c r="G169" i="2"/>
  <c r="H169" i="2" s="1"/>
  <c r="E169" i="2"/>
  <c r="G177" i="2"/>
  <c r="H177" i="2" s="1"/>
  <c r="I177" i="2"/>
  <c r="J177" i="2" s="1"/>
  <c r="E177" i="2"/>
  <c r="I200" i="2"/>
  <c r="J200" i="2" s="1"/>
  <c r="G200" i="2"/>
  <c r="H200" i="2" s="1"/>
  <c r="E200" i="2"/>
  <c r="I208" i="2"/>
  <c r="J208" i="2" s="1"/>
  <c r="G208" i="2"/>
  <c r="H208" i="2" s="1"/>
  <c r="E208" i="2"/>
  <c r="I216" i="2"/>
  <c r="J216" i="2" s="1"/>
  <c r="G216" i="2"/>
  <c r="H216" i="2" s="1"/>
  <c r="E216" i="2"/>
  <c r="I224" i="2"/>
  <c r="J224" i="2" s="1"/>
  <c r="G224" i="2"/>
  <c r="H224" i="2" s="1"/>
  <c r="E224" i="2"/>
  <c r="I232" i="2"/>
  <c r="J232" i="2" s="1"/>
  <c r="G232" i="2"/>
  <c r="H232" i="2" s="1"/>
  <c r="E232" i="2"/>
  <c r="G240" i="2"/>
  <c r="H240" i="2" s="1"/>
  <c r="I240" i="2"/>
  <c r="J240" i="2" s="1"/>
  <c r="E240" i="2"/>
  <c r="C320" i="2"/>
  <c r="I271" i="2"/>
  <c r="J271" i="2" s="1"/>
  <c r="G271" i="2"/>
  <c r="H271" i="2" s="1"/>
  <c r="E271" i="2"/>
  <c r="I279" i="2"/>
  <c r="J279" i="2" s="1"/>
  <c r="G279" i="2"/>
  <c r="H279" i="2" s="1"/>
  <c r="E279" i="2"/>
  <c r="G287" i="2"/>
  <c r="H287" i="2" s="1"/>
  <c r="I287" i="2"/>
  <c r="J287" i="2" s="1"/>
  <c r="E287" i="2"/>
  <c r="G295" i="2"/>
  <c r="H295" i="2" s="1"/>
  <c r="I295" i="2"/>
  <c r="J295" i="2" s="1"/>
  <c r="E295" i="2"/>
  <c r="G303" i="2"/>
  <c r="H303" i="2" s="1"/>
  <c r="I303" i="2"/>
  <c r="J303" i="2" s="1"/>
  <c r="E303" i="2"/>
  <c r="I311" i="2"/>
  <c r="J311" i="2" s="1"/>
  <c r="G311" i="2"/>
  <c r="H311" i="2" s="1"/>
  <c r="E311" i="2"/>
  <c r="G334" i="2"/>
  <c r="H334" i="2" s="1"/>
  <c r="I334" i="2"/>
  <c r="J334" i="2" s="1"/>
  <c r="E334" i="2"/>
  <c r="I342" i="2"/>
  <c r="J342" i="2" s="1"/>
  <c r="G342" i="2"/>
  <c r="H342" i="2" s="1"/>
  <c r="E342" i="2"/>
  <c r="I350" i="2"/>
  <c r="J350" i="2" s="1"/>
  <c r="G350" i="2"/>
  <c r="H350" i="2" s="1"/>
  <c r="E350" i="2"/>
  <c r="G358" i="2"/>
  <c r="H358" i="2" s="1"/>
  <c r="I358" i="2"/>
  <c r="J358" i="2" s="1"/>
  <c r="E358" i="2"/>
  <c r="G366" i="2"/>
  <c r="H366" i="2" s="1"/>
  <c r="I366" i="2"/>
  <c r="J366" i="2" s="1"/>
  <c r="E366" i="2"/>
  <c r="G374" i="2"/>
  <c r="H374" i="2" s="1"/>
  <c r="I374" i="2"/>
  <c r="J374" i="2" s="1"/>
  <c r="E374" i="2"/>
  <c r="G397" i="2"/>
  <c r="H397" i="2" s="1"/>
  <c r="I397" i="2"/>
  <c r="J397" i="2" s="1"/>
  <c r="E397" i="2"/>
  <c r="I405" i="2"/>
  <c r="J405" i="2" s="1"/>
  <c r="G405" i="2"/>
  <c r="H405" i="2" s="1"/>
  <c r="E405" i="2"/>
  <c r="I413" i="2"/>
  <c r="J413" i="2" s="1"/>
  <c r="G413" i="2"/>
  <c r="H413" i="2" s="1"/>
  <c r="E413" i="2"/>
  <c r="G421" i="2"/>
  <c r="H421" i="2" s="1"/>
  <c r="I421" i="2"/>
  <c r="J421" i="2" s="1"/>
  <c r="E421" i="2"/>
  <c r="I429" i="2"/>
  <c r="J429" i="2" s="1"/>
  <c r="G429" i="2"/>
  <c r="H429" i="2" s="1"/>
  <c r="E429" i="2"/>
  <c r="G437" i="2"/>
  <c r="H437" i="2" s="1"/>
  <c r="I437" i="2"/>
  <c r="J437" i="2" s="1"/>
  <c r="E437" i="2"/>
  <c r="I460" i="2"/>
  <c r="J460" i="2" s="1"/>
  <c r="G460" i="2"/>
  <c r="H460" i="2" s="1"/>
  <c r="E460" i="2"/>
  <c r="G468" i="2"/>
  <c r="H468" i="2" s="1"/>
  <c r="I468" i="2"/>
  <c r="J468" i="2" s="1"/>
  <c r="E468" i="2"/>
  <c r="G476" i="2"/>
  <c r="H476" i="2" s="1"/>
  <c r="I476" i="2"/>
  <c r="J476" i="2" s="1"/>
  <c r="E476" i="2"/>
  <c r="I484" i="2"/>
  <c r="J484" i="2" s="1"/>
  <c r="G484" i="2"/>
  <c r="H484" i="2" s="1"/>
  <c r="E484" i="2"/>
  <c r="I492" i="2"/>
  <c r="J492" i="2" s="1"/>
  <c r="G492" i="2"/>
  <c r="H492" i="2" s="1"/>
  <c r="E492" i="2"/>
  <c r="I500" i="2"/>
  <c r="J500" i="2" s="1"/>
  <c r="G500" i="2"/>
  <c r="H500" i="2" s="1"/>
  <c r="E500" i="2"/>
  <c r="I531" i="2"/>
  <c r="J531" i="2" s="1"/>
  <c r="G531" i="2"/>
  <c r="H531" i="2" s="1"/>
  <c r="E531" i="2"/>
  <c r="I539" i="2"/>
  <c r="J539" i="2" s="1"/>
  <c r="G539" i="2"/>
  <c r="H539" i="2" s="1"/>
  <c r="E539" i="2"/>
  <c r="I547" i="2"/>
  <c r="J547" i="2" s="1"/>
  <c r="G547" i="2"/>
  <c r="H547" i="2" s="1"/>
  <c r="E547" i="2"/>
  <c r="G555" i="2"/>
  <c r="H555" i="2" s="1"/>
  <c r="I555" i="2"/>
  <c r="J555" i="2" s="1"/>
  <c r="E555" i="2"/>
  <c r="G563" i="2"/>
  <c r="H563" i="2" s="1"/>
  <c r="I563" i="2"/>
  <c r="J563" i="2" s="1"/>
  <c r="E563" i="2"/>
  <c r="I571" i="2"/>
  <c r="J571" i="2" s="1"/>
  <c r="G571" i="2"/>
  <c r="H571" i="2" s="1"/>
  <c r="E571" i="2"/>
  <c r="E23" i="2"/>
  <c r="G355" i="2"/>
  <c r="H355" i="2" s="1"/>
  <c r="I355" i="2"/>
  <c r="J355" i="2" s="1"/>
  <c r="E355" i="2"/>
  <c r="G434" i="2"/>
  <c r="H434" i="2" s="1"/>
  <c r="I434" i="2"/>
  <c r="J434" i="2" s="1"/>
  <c r="E434" i="2"/>
  <c r="G4" i="2"/>
  <c r="H4" i="2" s="1"/>
  <c r="I4" i="2"/>
  <c r="J4" i="2" s="1"/>
  <c r="I12" i="2"/>
  <c r="J12" i="2" s="1"/>
  <c r="G12" i="2"/>
  <c r="H12" i="2" s="1"/>
  <c r="G20" i="2"/>
  <c r="H20" i="2" s="1"/>
  <c r="I20" i="2"/>
  <c r="J20" i="2" s="1"/>
  <c r="I28" i="2"/>
  <c r="J28" i="2" s="1"/>
  <c r="G28" i="2"/>
  <c r="H28" i="2" s="1"/>
  <c r="G36" i="2"/>
  <c r="H36" i="2" s="1"/>
  <c r="I36" i="2"/>
  <c r="J36" i="2" s="1"/>
  <c r="G44" i="2"/>
  <c r="H44" i="2" s="1"/>
  <c r="I44" i="2"/>
  <c r="J44" i="2" s="1"/>
  <c r="G52" i="2"/>
  <c r="H52" i="2" s="1"/>
  <c r="I52" i="2"/>
  <c r="J52" i="2" s="1"/>
  <c r="I75" i="2"/>
  <c r="J75" i="2" s="1"/>
  <c r="G75" i="2"/>
  <c r="H75" i="2" s="1"/>
  <c r="E75" i="2"/>
  <c r="I83" i="2"/>
  <c r="J83" i="2" s="1"/>
  <c r="G83" i="2"/>
  <c r="H83" i="2" s="1"/>
  <c r="E83" i="2"/>
  <c r="I91" i="2"/>
  <c r="J91" i="2" s="1"/>
  <c r="G91" i="2"/>
  <c r="H91" i="2" s="1"/>
  <c r="E91" i="2"/>
  <c r="G99" i="2"/>
  <c r="H99" i="2" s="1"/>
  <c r="I99" i="2"/>
  <c r="J99" i="2" s="1"/>
  <c r="E99" i="2"/>
  <c r="G107" i="2"/>
  <c r="H107" i="2" s="1"/>
  <c r="I107" i="2"/>
  <c r="J107" i="2" s="1"/>
  <c r="E107" i="2"/>
  <c r="I115" i="2"/>
  <c r="J115" i="2" s="1"/>
  <c r="G115" i="2"/>
  <c r="H115" i="2" s="1"/>
  <c r="E115" i="2"/>
  <c r="I138" i="2"/>
  <c r="J138" i="2" s="1"/>
  <c r="G138" i="2"/>
  <c r="H138" i="2" s="1"/>
  <c r="E138" i="2"/>
  <c r="I146" i="2"/>
  <c r="J146" i="2" s="1"/>
  <c r="G146" i="2"/>
  <c r="H146" i="2" s="1"/>
  <c r="E146" i="2"/>
  <c r="G154" i="2"/>
  <c r="H154" i="2" s="1"/>
  <c r="I154" i="2"/>
  <c r="J154" i="2" s="1"/>
  <c r="E154" i="2"/>
  <c r="G162" i="2"/>
  <c r="H162" i="2" s="1"/>
  <c r="I162" i="2"/>
  <c r="J162" i="2" s="1"/>
  <c r="E162" i="2"/>
  <c r="G170" i="2"/>
  <c r="H170" i="2" s="1"/>
  <c r="I170" i="2"/>
  <c r="J170" i="2" s="1"/>
  <c r="E170" i="2"/>
  <c r="G178" i="2"/>
  <c r="H178" i="2" s="1"/>
  <c r="I178" i="2"/>
  <c r="J178" i="2" s="1"/>
  <c r="E178" i="2"/>
  <c r="I201" i="2"/>
  <c r="J201" i="2" s="1"/>
  <c r="G201" i="2"/>
  <c r="H201" i="2" s="1"/>
  <c r="E201" i="2"/>
  <c r="I209" i="2"/>
  <c r="J209" i="2" s="1"/>
  <c r="G209" i="2"/>
  <c r="H209" i="2" s="1"/>
  <c r="E209" i="2"/>
  <c r="I217" i="2"/>
  <c r="J217" i="2" s="1"/>
  <c r="G217" i="2"/>
  <c r="H217" i="2" s="1"/>
  <c r="E217" i="2"/>
  <c r="I225" i="2"/>
  <c r="J225" i="2" s="1"/>
  <c r="G225" i="2"/>
  <c r="H225" i="2" s="1"/>
  <c r="E225" i="2"/>
  <c r="I233" i="2"/>
  <c r="J233" i="2" s="1"/>
  <c r="G233" i="2"/>
  <c r="H233" i="2" s="1"/>
  <c r="E233" i="2"/>
  <c r="G241" i="2"/>
  <c r="H241" i="2" s="1"/>
  <c r="I241" i="2"/>
  <c r="J241" i="2" s="1"/>
  <c r="E241" i="2"/>
  <c r="G264" i="2"/>
  <c r="H264" i="2" s="1"/>
  <c r="I264" i="2"/>
  <c r="J264" i="2" s="1"/>
  <c r="E264" i="2"/>
  <c r="I272" i="2"/>
  <c r="J272" i="2" s="1"/>
  <c r="G272" i="2"/>
  <c r="H272" i="2" s="1"/>
  <c r="E272" i="2"/>
  <c r="I280" i="2"/>
  <c r="J280" i="2" s="1"/>
  <c r="G280" i="2"/>
  <c r="H280" i="2" s="1"/>
  <c r="E280" i="2"/>
  <c r="G288" i="2"/>
  <c r="H288" i="2" s="1"/>
  <c r="I288" i="2"/>
  <c r="J288" i="2" s="1"/>
  <c r="E288" i="2"/>
  <c r="I296" i="2"/>
  <c r="J296" i="2" s="1"/>
  <c r="G296" i="2"/>
  <c r="H296" i="2" s="1"/>
  <c r="E296" i="2"/>
  <c r="I304" i="2"/>
  <c r="J304" i="2" s="1"/>
  <c r="G304" i="2"/>
  <c r="H304" i="2" s="1"/>
  <c r="E304" i="2"/>
  <c r="G312" i="2"/>
  <c r="H312" i="2" s="1"/>
  <c r="I312" i="2"/>
  <c r="J312" i="2" s="1"/>
  <c r="E312" i="2"/>
  <c r="I335" i="2"/>
  <c r="J335" i="2" s="1"/>
  <c r="G335" i="2"/>
  <c r="H335" i="2" s="1"/>
  <c r="E335" i="2"/>
  <c r="I343" i="2"/>
  <c r="J343" i="2" s="1"/>
  <c r="G343" i="2"/>
  <c r="H343" i="2" s="1"/>
  <c r="E343" i="2"/>
  <c r="I351" i="2"/>
  <c r="J351" i="2" s="1"/>
  <c r="G351" i="2"/>
  <c r="H351" i="2" s="1"/>
  <c r="E351" i="2"/>
  <c r="I359" i="2"/>
  <c r="J359" i="2" s="1"/>
  <c r="G359" i="2"/>
  <c r="H359" i="2" s="1"/>
  <c r="E359" i="2"/>
  <c r="I367" i="2"/>
  <c r="J367" i="2" s="1"/>
  <c r="G367" i="2"/>
  <c r="H367" i="2" s="1"/>
  <c r="E367" i="2"/>
  <c r="I375" i="2"/>
  <c r="J375" i="2" s="1"/>
  <c r="G375" i="2"/>
  <c r="H375" i="2" s="1"/>
  <c r="E375" i="2"/>
  <c r="I398" i="2"/>
  <c r="J398" i="2" s="1"/>
  <c r="G398" i="2"/>
  <c r="H398" i="2" s="1"/>
  <c r="E398" i="2"/>
  <c r="G406" i="2"/>
  <c r="H406" i="2" s="1"/>
  <c r="I406" i="2"/>
  <c r="J406" i="2" s="1"/>
  <c r="E406" i="2"/>
  <c r="G414" i="2"/>
  <c r="H414" i="2" s="1"/>
  <c r="I414" i="2"/>
  <c r="J414" i="2" s="1"/>
  <c r="E414" i="2"/>
  <c r="G422" i="2"/>
  <c r="H422" i="2" s="1"/>
  <c r="I422" i="2"/>
  <c r="J422" i="2" s="1"/>
  <c r="E422" i="2"/>
  <c r="G430" i="2"/>
  <c r="H430" i="2" s="1"/>
  <c r="I430" i="2"/>
  <c r="J430" i="2" s="1"/>
  <c r="E430" i="2"/>
  <c r="I438" i="2"/>
  <c r="J438" i="2" s="1"/>
  <c r="G438" i="2"/>
  <c r="H438" i="2" s="1"/>
  <c r="E438" i="2"/>
  <c r="I461" i="2"/>
  <c r="J461" i="2" s="1"/>
  <c r="G461" i="2"/>
  <c r="H461" i="2" s="1"/>
  <c r="E461" i="2"/>
  <c r="I469" i="2"/>
  <c r="J469" i="2" s="1"/>
  <c r="G469" i="2"/>
  <c r="H469" i="2" s="1"/>
  <c r="E469" i="2"/>
  <c r="G477" i="2"/>
  <c r="H477" i="2" s="1"/>
  <c r="I477" i="2"/>
  <c r="J477" i="2" s="1"/>
  <c r="E477" i="2"/>
  <c r="I485" i="2"/>
  <c r="J485" i="2" s="1"/>
  <c r="G485" i="2"/>
  <c r="H485" i="2" s="1"/>
  <c r="E485" i="2"/>
  <c r="G493" i="2"/>
  <c r="H493" i="2" s="1"/>
  <c r="I493" i="2"/>
  <c r="J493" i="2" s="1"/>
  <c r="E493" i="2"/>
  <c r="I501" i="2"/>
  <c r="J501" i="2" s="1"/>
  <c r="G501" i="2"/>
  <c r="H501" i="2" s="1"/>
  <c r="E501" i="2"/>
  <c r="G524" i="2"/>
  <c r="H524" i="2" s="1"/>
  <c r="I524" i="2"/>
  <c r="J524" i="2" s="1"/>
  <c r="E524" i="2"/>
  <c r="I532" i="2"/>
  <c r="J532" i="2" s="1"/>
  <c r="G532" i="2"/>
  <c r="H532" i="2" s="1"/>
  <c r="E532" i="2"/>
  <c r="I540" i="2"/>
  <c r="J540" i="2" s="1"/>
  <c r="G540" i="2"/>
  <c r="H540" i="2" s="1"/>
  <c r="E540" i="2"/>
  <c r="G548" i="2"/>
  <c r="H548" i="2" s="1"/>
  <c r="I548" i="2"/>
  <c r="J548" i="2" s="1"/>
  <c r="E548" i="2"/>
  <c r="I556" i="2"/>
  <c r="J556" i="2" s="1"/>
  <c r="G556" i="2"/>
  <c r="H556" i="2" s="1"/>
  <c r="E556" i="2"/>
  <c r="G564" i="2"/>
  <c r="H564" i="2" s="1"/>
  <c r="I564" i="2"/>
  <c r="J564" i="2" s="1"/>
  <c r="E564" i="2"/>
  <c r="I572" i="2"/>
  <c r="J572" i="2" s="1"/>
  <c r="G572" i="2"/>
  <c r="H572" i="2" s="1"/>
  <c r="E572" i="2"/>
  <c r="E44" i="2"/>
  <c r="E12" i="2"/>
  <c r="E19" i="2"/>
  <c r="G15" i="2"/>
  <c r="H15" i="2" s="1"/>
  <c r="I15" i="2"/>
  <c r="J15" i="2" s="1"/>
  <c r="I31" i="2"/>
  <c r="J31" i="2" s="1"/>
  <c r="G31" i="2"/>
  <c r="H31" i="2" s="1"/>
  <c r="I47" i="2"/>
  <c r="J47" i="2" s="1"/>
  <c r="G47" i="2"/>
  <c r="H47" i="2" s="1"/>
  <c r="G86" i="2"/>
  <c r="H86" i="2" s="1"/>
  <c r="I86" i="2"/>
  <c r="J86" i="2" s="1"/>
  <c r="E86" i="2"/>
  <c r="I110" i="2"/>
  <c r="J110" i="2" s="1"/>
  <c r="G110" i="2"/>
  <c r="H110" i="2" s="1"/>
  <c r="E110" i="2"/>
  <c r="I173" i="2"/>
  <c r="J173" i="2" s="1"/>
  <c r="G173" i="2"/>
  <c r="H173" i="2" s="1"/>
  <c r="E173" i="2"/>
  <c r="I283" i="2"/>
  <c r="J283" i="2" s="1"/>
  <c r="G283" i="2"/>
  <c r="H283" i="2" s="1"/>
  <c r="E283" i="2"/>
  <c r="G346" i="2"/>
  <c r="H346" i="2" s="1"/>
  <c r="I346" i="2"/>
  <c r="J346" i="2" s="1"/>
  <c r="E346" i="2"/>
  <c r="G433" i="2"/>
  <c r="H433" i="2" s="1"/>
  <c r="I433" i="2"/>
  <c r="J433" i="2" s="1"/>
  <c r="E433" i="2"/>
  <c r="G504" i="2"/>
  <c r="H504" i="2" s="1"/>
  <c r="I504" i="2"/>
  <c r="J504" i="2" s="1"/>
  <c r="E504" i="2"/>
  <c r="E47" i="2"/>
  <c r="G16" i="2"/>
  <c r="H16" i="2" s="1"/>
  <c r="I16" i="2"/>
  <c r="J16" i="2" s="1"/>
  <c r="I40" i="2"/>
  <c r="J40" i="2" s="1"/>
  <c r="G40" i="2"/>
  <c r="H40" i="2" s="1"/>
  <c r="G87" i="2"/>
  <c r="H87" i="2" s="1"/>
  <c r="I87" i="2"/>
  <c r="J87" i="2" s="1"/>
  <c r="E87" i="2"/>
  <c r="I158" i="2"/>
  <c r="J158" i="2" s="1"/>
  <c r="G158" i="2"/>
  <c r="H158" i="2" s="1"/>
  <c r="E158" i="2"/>
  <c r="G229" i="2"/>
  <c r="H229" i="2" s="1"/>
  <c r="I229" i="2"/>
  <c r="J229" i="2" s="1"/>
  <c r="E229" i="2"/>
  <c r="I292" i="2"/>
  <c r="J292" i="2" s="1"/>
  <c r="G292" i="2"/>
  <c r="H292" i="2" s="1"/>
  <c r="E292" i="2"/>
  <c r="I331" i="2"/>
  <c r="J331" i="2" s="1"/>
  <c r="G331" i="2"/>
  <c r="H331" i="2" s="1"/>
  <c r="E331" i="2"/>
  <c r="I371" i="2"/>
  <c r="J371" i="2" s="1"/>
  <c r="G371" i="2"/>
  <c r="H371" i="2" s="1"/>
  <c r="E371" i="2"/>
  <c r="G418" i="2"/>
  <c r="H418" i="2" s="1"/>
  <c r="I418" i="2"/>
  <c r="J418" i="2" s="1"/>
  <c r="E418" i="2"/>
  <c r="G442" i="2"/>
  <c r="H442" i="2" s="1"/>
  <c r="I442" i="2"/>
  <c r="J442" i="2" s="1"/>
  <c r="E442" i="2"/>
  <c r="G489" i="2"/>
  <c r="H489" i="2" s="1"/>
  <c r="I489" i="2"/>
  <c r="J489" i="2" s="1"/>
  <c r="E489" i="2"/>
  <c r="I536" i="2"/>
  <c r="J536" i="2" s="1"/>
  <c r="G536" i="2"/>
  <c r="H536" i="2" s="1"/>
  <c r="E536" i="2"/>
  <c r="G552" i="2"/>
  <c r="H552" i="2" s="1"/>
  <c r="I552" i="2"/>
  <c r="J552" i="2" s="1"/>
  <c r="E552" i="2"/>
  <c r="I568" i="2"/>
  <c r="J568" i="2" s="1"/>
  <c r="G568" i="2"/>
  <c r="H568" i="2" s="1"/>
  <c r="E568" i="2"/>
  <c r="E7" i="2"/>
  <c r="G5" i="2"/>
  <c r="H5" i="2" s="1"/>
  <c r="I5" i="2"/>
  <c r="J5" i="2" s="1"/>
  <c r="G13" i="2"/>
  <c r="H13" i="2" s="1"/>
  <c r="I13" i="2"/>
  <c r="J13" i="2" s="1"/>
  <c r="I21" i="2"/>
  <c r="J21" i="2" s="1"/>
  <c r="G21" i="2"/>
  <c r="H21" i="2" s="1"/>
  <c r="I29" i="2"/>
  <c r="J29" i="2" s="1"/>
  <c r="G29" i="2"/>
  <c r="H29" i="2" s="1"/>
  <c r="I37" i="2"/>
  <c r="J37" i="2" s="1"/>
  <c r="G37" i="2"/>
  <c r="H37" i="2" s="1"/>
  <c r="G45" i="2"/>
  <c r="H45" i="2" s="1"/>
  <c r="I45" i="2"/>
  <c r="J45" i="2" s="1"/>
  <c r="I76" i="2"/>
  <c r="J76" i="2" s="1"/>
  <c r="G76" i="2"/>
  <c r="H76" i="2" s="1"/>
  <c r="E76" i="2"/>
  <c r="G84" i="2"/>
  <c r="H84" i="2" s="1"/>
  <c r="I84" i="2"/>
  <c r="J84" i="2" s="1"/>
  <c r="E84" i="2"/>
  <c r="I92" i="2"/>
  <c r="J92" i="2" s="1"/>
  <c r="G92" i="2"/>
  <c r="H92" i="2" s="1"/>
  <c r="E92" i="2"/>
  <c r="G100" i="2"/>
  <c r="H100" i="2" s="1"/>
  <c r="I100" i="2"/>
  <c r="J100" i="2" s="1"/>
  <c r="E100" i="2"/>
  <c r="I108" i="2"/>
  <c r="J108" i="2" s="1"/>
  <c r="G108" i="2"/>
  <c r="H108" i="2" s="1"/>
  <c r="E108" i="2"/>
  <c r="I116" i="2"/>
  <c r="J116" i="2" s="1"/>
  <c r="G116" i="2"/>
  <c r="H116" i="2" s="1"/>
  <c r="E116" i="2"/>
  <c r="G139" i="2"/>
  <c r="H139" i="2" s="1"/>
  <c r="I139" i="2"/>
  <c r="J139" i="2" s="1"/>
  <c r="E139" i="2"/>
  <c r="I147" i="2"/>
  <c r="J147" i="2" s="1"/>
  <c r="G147" i="2"/>
  <c r="H147" i="2" s="1"/>
  <c r="E147" i="2"/>
  <c r="I155" i="2"/>
  <c r="J155" i="2" s="1"/>
  <c r="G155" i="2"/>
  <c r="H155" i="2" s="1"/>
  <c r="E155" i="2"/>
  <c r="G163" i="2"/>
  <c r="H163" i="2" s="1"/>
  <c r="I163" i="2"/>
  <c r="J163" i="2" s="1"/>
  <c r="E163" i="2"/>
  <c r="G171" i="2"/>
  <c r="H171" i="2" s="1"/>
  <c r="I171" i="2"/>
  <c r="J171" i="2" s="1"/>
  <c r="E171" i="2"/>
  <c r="I179" i="2"/>
  <c r="J179" i="2" s="1"/>
  <c r="G179" i="2"/>
  <c r="H179" i="2" s="1"/>
  <c r="E179" i="2"/>
  <c r="G202" i="2"/>
  <c r="H202" i="2" s="1"/>
  <c r="I202" i="2"/>
  <c r="J202" i="2" s="1"/>
  <c r="E202" i="2"/>
  <c r="I210" i="2"/>
  <c r="J210" i="2" s="1"/>
  <c r="G210" i="2"/>
  <c r="H210" i="2" s="1"/>
  <c r="E210" i="2"/>
  <c r="I218" i="2"/>
  <c r="J218" i="2" s="1"/>
  <c r="G218" i="2"/>
  <c r="H218" i="2" s="1"/>
  <c r="E218" i="2"/>
  <c r="I226" i="2"/>
  <c r="J226" i="2" s="1"/>
  <c r="G226" i="2"/>
  <c r="H226" i="2" s="1"/>
  <c r="E226" i="2"/>
  <c r="G234" i="2"/>
  <c r="H234" i="2" s="1"/>
  <c r="I234" i="2"/>
  <c r="J234" i="2" s="1"/>
  <c r="E234" i="2"/>
  <c r="G242" i="2"/>
  <c r="H242" i="2" s="1"/>
  <c r="I242" i="2"/>
  <c r="J242" i="2" s="1"/>
  <c r="E242" i="2"/>
  <c r="G265" i="2"/>
  <c r="H265" i="2" s="1"/>
  <c r="I265" i="2"/>
  <c r="J265" i="2" s="1"/>
  <c r="E265" i="2"/>
  <c r="G273" i="2"/>
  <c r="H273" i="2" s="1"/>
  <c r="I273" i="2"/>
  <c r="J273" i="2" s="1"/>
  <c r="E273" i="2"/>
  <c r="I281" i="2"/>
  <c r="J281" i="2" s="1"/>
  <c r="G281" i="2"/>
  <c r="H281" i="2" s="1"/>
  <c r="E281" i="2"/>
  <c r="G289" i="2"/>
  <c r="H289" i="2" s="1"/>
  <c r="I289" i="2"/>
  <c r="J289" i="2" s="1"/>
  <c r="E289" i="2"/>
  <c r="G297" i="2"/>
  <c r="H297" i="2" s="1"/>
  <c r="I297" i="2"/>
  <c r="J297" i="2" s="1"/>
  <c r="E297" i="2"/>
  <c r="I305" i="2"/>
  <c r="J305" i="2" s="1"/>
  <c r="G305" i="2"/>
  <c r="H305" i="2" s="1"/>
  <c r="E305" i="2"/>
  <c r="I336" i="2"/>
  <c r="J336" i="2" s="1"/>
  <c r="G336" i="2"/>
  <c r="H336" i="2" s="1"/>
  <c r="E336" i="2"/>
  <c r="I344" i="2"/>
  <c r="J344" i="2" s="1"/>
  <c r="G344" i="2"/>
  <c r="H344" i="2" s="1"/>
  <c r="E344" i="2"/>
  <c r="G352" i="2"/>
  <c r="H352" i="2" s="1"/>
  <c r="I352" i="2"/>
  <c r="J352" i="2" s="1"/>
  <c r="E352" i="2"/>
  <c r="G360" i="2"/>
  <c r="H360" i="2" s="1"/>
  <c r="I360" i="2"/>
  <c r="J360" i="2" s="1"/>
  <c r="E360" i="2"/>
  <c r="G368" i="2"/>
  <c r="H368" i="2" s="1"/>
  <c r="I368" i="2"/>
  <c r="J368" i="2" s="1"/>
  <c r="E368" i="2"/>
  <c r="G376" i="2"/>
  <c r="H376" i="2" s="1"/>
  <c r="I376" i="2"/>
  <c r="J376" i="2" s="1"/>
  <c r="E376" i="2"/>
  <c r="I399" i="2"/>
  <c r="J399" i="2" s="1"/>
  <c r="G399" i="2"/>
  <c r="H399" i="2" s="1"/>
  <c r="E399" i="2"/>
  <c r="I407" i="2"/>
  <c r="J407" i="2" s="1"/>
  <c r="G407" i="2"/>
  <c r="H407" i="2" s="1"/>
  <c r="E407" i="2"/>
  <c r="G415" i="2"/>
  <c r="H415" i="2" s="1"/>
  <c r="I415" i="2"/>
  <c r="J415" i="2" s="1"/>
  <c r="E415" i="2"/>
  <c r="I423" i="2"/>
  <c r="J423" i="2" s="1"/>
  <c r="G423" i="2"/>
  <c r="H423" i="2" s="1"/>
  <c r="E423" i="2"/>
  <c r="I431" i="2"/>
  <c r="J431" i="2" s="1"/>
  <c r="G431" i="2"/>
  <c r="H431" i="2" s="1"/>
  <c r="E431" i="2"/>
  <c r="G439" i="2"/>
  <c r="H439" i="2" s="1"/>
  <c r="I439" i="2"/>
  <c r="J439" i="2" s="1"/>
  <c r="E439" i="2"/>
  <c r="G462" i="2"/>
  <c r="H462" i="2" s="1"/>
  <c r="I462" i="2"/>
  <c r="J462" i="2" s="1"/>
  <c r="E462" i="2"/>
  <c r="I470" i="2"/>
  <c r="J470" i="2" s="1"/>
  <c r="G470" i="2"/>
  <c r="H470" i="2" s="1"/>
  <c r="E470" i="2"/>
  <c r="G478" i="2"/>
  <c r="H478" i="2" s="1"/>
  <c r="I478" i="2"/>
  <c r="J478" i="2" s="1"/>
  <c r="E478" i="2"/>
  <c r="I486" i="2"/>
  <c r="J486" i="2" s="1"/>
  <c r="G486" i="2"/>
  <c r="H486" i="2" s="1"/>
  <c r="E486" i="2"/>
  <c r="I494" i="2"/>
  <c r="J494" i="2" s="1"/>
  <c r="G494" i="2"/>
  <c r="H494" i="2" s="1"/>
  <c r="E494" i="2"/>
  <c r="G502" i="2"/>
  <c r="H502" i="2" s="1"/>
  <c r="I502" i="2"/>
  <c r="J502" i="2" s="1"/>
  <c r="E502" i="2"/>
  <c r="G525" i="2"/>
  <c r="H525" i="2" s="1"/>
  <c r="I525" i="2"/>
  <c r="J525" i="2" s="1"/>
  <c r="E525" i="2"/>
  <c r="I533" i="2"/>
  <c r="J533" i="2" s="1"/>
  <c r="G533" i="2"/>
  <c r="H533" i="2" s="1"/>
  <c r="E533" i="2"/>
  <c r="G541" i="2"/>
  <c r="H541" i="2" s="1"/>
  <c r="I541" i="2"/>
  <c r="J541" i="2" s="1"/>
  <c r="E541" i="2"/>
  <c r="G549" i="2"/>
  <c r="H549" i="2" s="1"/>
  <c r="I549" i="2"/>
  <c r="J549" i="2" s="1"/>
  <c r="E549" i="2"/>
  <c r="I557" i="2"/>
  <c r="J557" i="2" s="1"/>
  <c r="G557" i="2"/>
  <c r="H557" i="2" s="1"/>
  <c r="E557" i="2"/>
  <c r="I565" i="2"/>
  <c r="J565" i="2" s="1"/>
  <c r="G565" i="2"/>
  <c r="H565" i="2" s="1"/>
  <c r="E565" i="2"/>
  <c r="E18" i="2"/>
  <c r="E41" i="2"/>
  <c r="E42" i="2"/>
  <c r="E16" i="2"/>
  <c r="E36" i="2"/>
  <c r="E25" i="2"/>
  <c r="E50" i="2"/>
  <c r="I78" i="2"/>
  <c r="J78" i="2" s="1"/>
  <c r="G78" i="2"/>
  <c r="H78" i="2" s="1"/>
  <c r="E78" i="2"/>
  <c r="I94" i="2"/>
  <c r="J94" i="2" s="1"/>
  <c r="G94" i="2"/>
  <c r="H94" i="2" s="1"/>
  <c r="E94" i="2"/>
  <c r="I149" i="2"/>
  <c r="J149" i="2" s="1"/>
  <c r="G149" i="2"/>
  <c r="H149" i="2" s="1"/>
  <c r="E149" i="2"/>
  <c r="G212" i="2"/>
  <c r="H212" i="2" s="1"/>
  <c r="I212" i="2"/>
  <c r="J212" i="2" s="1"/>
  <c r="E212" i="2"/>
  <c r="I236" i="2"/>
  <c r="J236" i="2" s="1"/>
  <c r="G236" i="2"/>
  <c r="H236" i="2" s="1"/>
  <c r="E236" i="2"/>
  <c r="I299" i="2"/>
  <c r="J299" i="2" s="1"/>
  <c r="G299" i="2"/>
  <c r="H299" i="2" s="1"/>
  <c r="E299" i="2"/>
  <c r="C450" i="2"/>
  <c r="I409" i="2"/>
  <c r="J409" i="2" s="1"/>
  <c r="G409" i="2"/>
  <c r="H409" i="2" s="1"/>
  <c r="E409" i="2"/>
  <c r="G488" i="2"/>
  <c r="H488" i="2" s="1"/>
  <c r="I488" i="2"/>
  <c r="J488" i="2" s="1"/>
  <c r="E488" i="2"/>
  <c r="I535" i="2"/>
  <c r="J535" i="2" s="1"/>
  <c r="G535" i="2"/>
  <c r="H535" i="2" s="1"/>
  <c r="E535" i="2"/>
  <c r="G8" i="2"/>
  <c r="H8" i="2" s="1"/>
  <c r="I8" i="2"/>
  <c r="J8" i="2" s="1"/>
  <c r="G48" i="2"/>
  <c r="H48" i="2" s="1"/>
  <c r="I48" i="2"/>
  <c r="J48" i="2" s="1"/>
  <c r="I79" i="2"/>
  <c r="J79" i="2" s="1"/>
  <c r="G79" i="2"/>
  <c r="H79" i="2" s="1"/>
  <c r="E79" i="2"/>
  <c r="I95" i="2"/>
  <c r="J95" i="2" s="1"/>
  <c r="G95" i="2"/>
  <c r="H95" i="2" s="1"/>
  <c r="E95" i="2"/>
  <c r="G111" i="2"/>
  <c r="H111" i="2" s="1"/>
  <c r="I111" i="2"/>
  <c r="J111" i="2" s="1"/>
  <c r="E111" i="2"/>
  <c r="I134" i="2"/>
  <c r="J134" i="2" s="1"/>
  <c r="G134" i="2"/>
  <c r="H134" i="2" s="1"/>
  <c r="E134" i="2"/>
  <c r="I182" i="2"/>
  <c r="J182" i="2" s="1"/>
  <c r="G182" i="2"/>
  <c r="H182" i="2" s="1"/>
  <c r="E182" i="2"/>
  <c r="G237" i="2"/>
  <c r="H237" i="2" s="1"/>
  <c r="I237" i="2"/>
  <c r="J237" i="2" s="1"/>
  <c r="E237" i="2"/>
  <c r="I300" i="2"/>
  <c r="J300" i="2" s="1"/>
  <c r="G300" i="2"/>
  <c r="H300" i="2" s="1"/>
  <c r="E300" i="2"/>
  <c r="G402" i="2"/>
  <c r="H402" i="2" s="1"/>
  <c r="I402" i="2"/>
  <c r="J402" i="2" s="1"/>
  <c r="E402" i="2"/>
  <c r="G426" i="2"/>
  <c r="H426" i="2" s="1"/>
  <c r="I426" i="2"/>
  <c r="J426" i="2" s="1"/>
  <c r="E426" i="2"/>
  <c r="I481" i="2"/>
  <c r="J481" i="2" s="1"/>
  <c r="G481" i="2"/>
  <c r="H481" i="2" s="1"/>
  <c r="E481" i="2"/>
  <c r="G6" i="2"/>
  <c r="H6" i="2" s="1"/>
  <c r="I6" i="2"/>
  <c r="J6" i="2" s="1"/>
  <c r="G14" i="2"/>
  <c r="H14" i="2" s="1"/>
  <c r="I14" i="2"/>
  <c r="J14" i="2" s="1"/>
  <c r="G22" i="2"/>
  <c r="H22" i="2" s="1"/>
  <c r="I22" i="2"/>
  <c r="J22" i="2" s="1"/>
  <c r="G30" i="2"/>
  <c r="H30" i="2" s="1"/>
  <c r="I30" i="2"/>
  <c r="J30" i="2" s="1"/>
  <c r="G38" i="2"/>
  <c r="H38" i="2" s="1"/>
  <c r="I38" i="2"/>
  <c r="J38" i="2" s="1"/>
  <c r="G46" i="2"/>
  <c r="H46" i="2" s="1"/>
  <c r="I46" i="2"/>
  <c r="J46" i="2" s="1"/>
  <c r="G69" i="2"/>
  <c r="H69" i="2" s="1"/>
  <c r="I69" i="2"/>
  <c r="J69" i="2" s="1"/>
  <c r="E69" i="2"/>
  <c r="G77" i="2"/>
  <c r="H77" i="2" s="1"/>
  <c r="I77" i="2"/>
  <c r="J77" i="2" s="1"/>
  <c r="E77" i="2"/>
  <c r="G85" i="2"/>
  <c r="H85" i="2" s="1"/>
  <c r="I85" i="2"/>
  <c r="J85" i="2" s="1"/>
  <c r="E85" i="2"/>
  <c r="G93" i="2"/>
  <c r="H93" i="2" s="1"/>
  <c r="I93" i="2"/>
  <c r="J93" i="2" s="1"/>
  <c r="E93" i="2"/>
  <c r="I101" i="2"/>
  <c r="J101" i="2" s="1"/>
  <c r="G101" i="2"/>
  <c r="H101" i="2" s="1"/>
  <c r="E101" i="2"/>
  <c r="G109" i="2"/>
  <c r="H109" i="2" s="1"/>
  <c r="I109" i="2"/>
  <c r="J109" i="2" s="1"/>
  <c r="E109" i="2"/>
  <c r="I117" i="2"/>
  <c r="J117" i="2" s="1"/>
  <c r="G117" i="2"/>
  <c r="H117" i="2" s="1"/>
  <c r="E117" i="2"/>
  <c r="I140" i="2"/>
  <c r="J140" i="2" s="1"/>
  <c r="G140" i="2"/>
  <c r="H140" i="2" s="1"/>
  <c r="E140" i="2"/>
  <c r="I148" i="2"/>
  <c r="J148" i="2" s="1"/>
  <c r="G148" i="2"/>
  <c r="H148" i="2" s="1"/>
  <c r="E148" i="2"/>
  <c r="I156" i="2"/>
  <c r="J156" i="2" s="1"/>
  <c r="G156" i="2"/>
  <c r="H156" i="2" s="1"/>
  <c r="E156" i="2"/>
  <c r="I164" i="2"/>
  <c r="J164" i="2" s="1"/>
  <c r="G164" i="2"/>
  <c r="H164" i="2" s="1"/>
  <c r="E164" i="2"/>
  <c r="G172" i="2"/>
  <c r="H172" i="2" s="1"/>
  <c r="I172" i="2"/>
  <c r="J172" i="2" s="1"/>
  <c r="E172" i="2"/>
  <c r="I180" i="2"/>
  <c r="J180" i="2" s="1"/>
  <c r="G180" i="2"/>
  <c r="H180" i="2" s="1"/>
  <c r="E180" i="2"/>
  <c r="I203" i="2"/>
  <c r="J203" i="2" s="1"/>
  <c r="G203" i="2"/>
  <c r="H203" i="2" s="1"/>
  <c r="E203" i="2"/>
  <c r="I211" i="2"/>
  <c r="J211" i="2" s="1"/>
  <c r="G211" i="2"/>
  <c r="H211" i="2" s="1"/>
  <c r="E211" i="2"/>
  <c r="I219" i="2"/>
  <c r="J219" i="2" s="1"/>
  <c r="G219" i="2"/>
  <c r="H219" i="2" s="1"/>
  <c r="E219" i="2"/>
  <c r="I227" i="2"/>
  <c r="J227" i="2" s="1"/>
  <c r="G227" i="2"/>
  <c r="H227" i="2" s="1"/>
  <c r="E227" i="2"/>
  <c r="I235" i="2"/>
  <c r="J235" i="2" s="1"/>
  <c r="G235" i="2"/>
  <c r="H235" i="2" s="1"/>
  <c r="E235" i="2"/>
  <c r="I243" i="2"/>
  <c r="J243" i="2" s="1"/>
  <c r="G243" i="2"/>
  <c r="H243" i="2" s="1"/>
  <c r="E243" i="2"/>
  <c r="G266" i="2"/>
  <c r="H266" i="2" s="1"/>
  <c r="I266" i="2"/>
  <c r="J266" i="2" s="1"/>
  <c r="E266" i="2"/>
  <c r="I274" i="2"/>
  <c r="J274" i="2" s="1"/>
  <c r="G274" i="2"/>
  <c r="H274" i="2" s="1"/>
  <c r="E274" i="2"/>
  <c r="I282" i="2"/>
  <c r="J282" i="2" s="1"/>
  <c r="G282" i="2"/>
  <c r="H282" i="2" s="1"/>
  <c r="E282" i="2"/>
  <c r="G290" i="2"/>
  <c r="H290" i="2" s="1"/>
  <c r="I290" i="2"/>
  <c r="J290" i="2" s="1"/>
  <c r="E290" i="2"/>
  <c r="G298" i="2"/>
  <c r="H298" i="2" s="1"/>
  <c r="I298" i="2"/>
  <c r="J298" i="2" s="1"/>
  <c r="E298" i="2"/>
  <c r="I306" i="2"/>
  <c r="J306" i="2" s="1"/>
  <c r="G306" i="2"/>
  <c r="H306" i="2" s="1"/>
  <c r="E306" i="2"/>
  <c r="G329" i="2"/>
  <c r="H329" i="2" s="1"/>
  <c r="I329" i="2"/>
  <c r="J329" i="2" s="1"/>
  <c r="E329" i="2"/>
  <c r="G337" i="2"/>
  <c r="H337" i="2" s="1"/>
  <c r="I337" i="2"/>
  <c r="J337" i="2" s="1"/>
  <c r="E337" i="2"/>
  <c r="G345" i="2"/>
  <c r="H345" i="2" s="1"/>
  <c r="I345" i="2"/>
  <c r="J345" i="2" s="1"/>
  <c r="E345" i="2"/>
  <c r="G353" i="2"/>
  <c r="H353" i="2" s="1"/>
  <c r="I353" i="2"/>
  <c r="J353" i="2" s="1"/>
  <c r="E353" i="2"/>
  <c r="G361" i="2"/>
  <c r="H361" i="2" s="1"/>
  <c r="I361" i="2"/>
  <c r="J361" i="2" s="1"/>
  <c r="E361" i="2"/>
  <c r="I369" i="2"/>
  <c r="J369" i="2" s="1"/>
  <c r="G369" i="2"/>
  <c r="H369" i="2" s="1"/>
  <c r="E369" i="2"/>
  <c r="G377" i="2"/>
  <c r="H377" i="2" s="1"/>
  <c r="I377" i="2"/>
  <c r="J377" i="2" s="1"/>
  <c r="E377" i="2"/>
  <c r="G400" i="2"/>
  <c r="H400" i="2" s="1"/>
  <c r="I400" i="2"/>
  <c r="J400" i="2" s="1"/>
  <c r="E400" i="2"/>
  <c r="G408" i="2"/>
  <c r="H408" i="2" s="1"/>
  <c r="I408" i="2"/>
  <c r="J408" i="2" s="1"/>
  <c r="E408" i="2"/>
  <c r="G416" i="2"/>
  <c r="H416" i="2" s="1"/>
  <c r="I416" i="2"/>
  <c r="J416" i="2" s="1"/>
  <c r="E416" i="2"/>
  <c r="G424" i="2"/>
  <c r="H424" i="2" s="1"/>
  <c r="I424" i="2"/>
  <c r="J424" i="2" s="1"/>
  <c r="E424" i="2"/>
  <c r="G432" i="2"/>
  <c r="H432" i="2" s="1"/>
  <c r="I432" i="2"/>
  <c r="J432" i="2" s="1"/>
  <c r="E432" i="2"/>
  <c r="I440" i="2"/>
  <c r="J440" i="2" s="1"/>
  <c r="G440" i="2"/>
  <c r="H440" i="2" s="1"/>
  <c r="E440" i="2"/>
  <c r="I463" i="2"/>
  <c r="J463" i="2" s="1"/>
  <c r="G463" i="2"/>
  <c r="H463" i="2" s="1"/>
  <c r="E463" i="2"/>
  <c r="G471" i="2"/>
  <c r="H471" i="2" s="1"/>
  <c r="I471" i="2"/>
  <c r="J471" i="2" s="1"/>
  <c r="E471" i="2"/>
  <c r="G479" i="2"/>
  <c r="H479" i="2" s="1"/>
  <c r="I479" i="2"/>
  <c r="J479" i="2" s="1"/>
  <c r="E479" i="2"/>
  <c r="G487" i="2"/>
  <c r="H487" i="2" s="1"/>
  <c r="I487" i="2"/>
  <c r="J487" i="2" s="1"/>
  <c r="E487" i="2"/>
  <c r="G495" i="2"/>
  <c r="H495" i="2" s="1"/>
  <c r="I495" i="2"/>
  <c r="J495" i="2" s="1"/>
  <c r="E495" i="2"/>
  <c r="I503" i="2"/>
  <c r="J503" i="2" s="1"/>
  <c r="G503" i="2"/>
  <c r="H503" i="2" s="1"/>
  <c r="E503" i="2"/>
  <c r="I526" i="2"/>
  <c r="J526" i="2" s="1"/>
  <c r="G526" i="2"/>
  <c r="H526" i="2" s="1"/>
  <c r="E526" i="2"/>
  <c r="I534" i="2"/>
  <c r="J534" i="2" s="1"/>
  <c r="G534" i="2"/>
  <c r="H534" i="2" s="1"/>
  <c r="E534" i="2"/>
  <c r="G542" i="2"/>
  <c r="H542" i="2" s="1"/>
  <c r="I542" i="2"/>
  <c r="J542" i="2" s="1"/>
  <c r="E542" i="2"/>
  <c r="I550" i="2"/>
  <c r="J550" i="2" s="1"/>
  <c r="G550" i="2"/>
  <c r="H550" i="2" s="1"/>
  <c r="E550" i="2"/>
  <c r="I558" i="2"/>
  <c r="J558" i="2" s="1"/>
  <c r="G558" i="2"/>
  <c r="H558" i="2" s="1"/>
  <c r="E558" i="2"/>
  <c r="I566" i="2"/>
  <c r="J566" i="2" s="1"/>
  <c r="G566" i="2"/>
  <c r="H566" i="2" s="1"/>
  <c r="E566" i="2"/>
  <c r="E49" i="2"/>
  <c r="E48" i="2"/>
  <c r="E28" i="2"/>
  <c r="E43" i="2"/>
  <c r="E52" i="2"/>
  <c r="E14" i="2"/>
  <c r="H184" i="2" l="1"/>
  <c r="H574" i="2"/>
  <c r="J574" i="2"/>
  <c r="J509" i="2"/>
  <c r="H509" i="2"/>
  <c r="J444" i="2"/>
  <c r="H444" i="2"/>
  <c r="J379" i="2"/>
  <c r="H379" i="2"/>
  <c r="H314" i="2"/>
  <c r="J314" i="2"/>
  <c r="J249" i="2"/>
  <c r="H249" i="2"/>
  <c r="J184" i="2"/>
  <c r="H119" i="2"/>
  <c r="J119" i="2"/>
  <c r="J54" i="2"/>
  <c r="H54" i="2"/>
  <c r="G258" i="2"/>
  <c r="G257" i="2"/>
  <c r="C258" i="2"/>
  <c r="C257" i="2"/>
  <c r="C388" i="2"/>
  <c r="C387" i="2"/>
  <c r="G583" i="2"/>
  <c r="G582" i="2"/>
  <c r="C583" i="2"/>
  <c r="C582" i="2"/>
  <c r="G388" i="2"/>
  <c r="G387" i="2"/>
  <c r="C322" i="2"/>
  <c r="C323" i="2"/>
  <c r="G453" i="2"/>
  <c r="G452" i="2"/>
  <c r="C128" i="2"/>
  <c r="C127" i="2"/>
  <c r="G192" i="2"/>
  <c r="G193" i="2"/>
  <c r="G62" i="2"/>
  <c r="G63" i="2"/>
  <c r="C193" i="2"/>
  <c r="C192" i="2"/>
  <c r="G127" i="2"/>
  <c r="G128" i="2"/>
  <c r="C62" i="2"/>
  <c r="C63" i="2"/>
  <c r="C517" i="2"/>
  <c r="C518" i="2"/>
  <c r="G323" i="2"/>
  <c r="G322" i="2"/>
  <c r="C453" i="2"/>
  <c r="C452" i="2"/>
  <c r="G517" i="2"/>
  <c r="G51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<sst xmlns="http://schemas.openxmlformats.org/spreadsheetml/2006/main" count="520" uniqueCount="166">
  <si>
    <t>Years</t>
  </si>
  <si>
    <t>5 minute</t>
  </si>
  <si>
    <t>10 minute</t>
  </si>
  <si>
    <t>15 minute</t>
  </si>
  <si>
    <t>30 minute</t>
  </si>
  <si>
    <t>1 hour</t>
  </si>
  <si>
    <t>2 hour</t>
  </si>
  <si>
    <t>6 hour</t>
  </si>
  <si>
    <t>12 hour</t>
  </si>
  <si>
    <t>24 hour</t>
  </si>
  <si>
    <t>Gumbel Distribution</t>
  </si>
  <si>
    <t>x</t>
  </si>
  <si>
    <t>Mean</t>
  </si>
  <si>
    <t>Std. Dev</t>
  </si>
  <si>
    <t>Count</t>
  </si>
  <si>
    <t xml:space="preserve">Sample Size </t>
  </si>
  <si>
    <t>Cumulative No. of Occurance</t>
  </si>
  <si>
    <t>z</t>
  </si>
  <si>
    <t>SN(x)</t>
  </si>
  <si>
    <t>F(x)     lognormal</t>
  </si>
  <si>
    <t>d   lognormal</t>
  </si>
  <si>
    <t>F(x)     Gumbel</t>
  </si>
  <si>
    <t>d    Gumbel</t>
  </si>
  <si>
    <t>p</t>
  </si>
  <si>
    <t>5 min</t>
  </si>
  <si>
    <t>K-S Stat</t>
  </si>
  <si>
    <t>K-S critical</t>
  </si>
  <si>
    <t>10 min</t>
  </si>
  <si>
    <t>AIC/BIC</t>
  </si>
  <si>
    <t xml:space="preserve">L(x|mu, sigma) = </t>
  </si>
  <si>
    <t>AIC</t>
  </si>
  <si>
    <t>BIC</t>
  </si>
  <si>
    <t>GOOD FIT</t>
  </si>
  <si>
    <t xml:space="preserve">Duration of storm (min) </t>
  </si>
  <si>
    <t>Return Period (Years)</t>
  </si>
  <si>
    <t>Time of duration = 5min</t>
  </si>
  <si>
    <t>Log Normal</t>
  </si>
  <si>
    <t>Gumbel</t>
  </si>
  <si>
    <t>Gumbel is preferred here</t>
  </si>
  <si>
    <t>Time of duration = 10min</t>
  </si>
  <si>
    <t>Log Normal is preferred here</t>
  </si>
  <si>
    <t>Time of duration = 30min</t>
  </si>
  <si>
    <t>Time of duration = 15min</t>
  </si>
  <si>
    <t>Time of duration = 2HR</t>
  </si>
  <si>
    <t>Time of duration = 6HR</t>
  </si>
  <si>
    <t>Time of duration = 12HR</t>
  </si>
  <si>
    <t>Time of duration = 24HR</t>
  </si>
  <si>
    <t>Time of Duration = 1HR</t>
  </si>
  <si>
    <t>Log Normal is preferred here!</t>
  </si>
  <si>
    <t>Year</t>
  </si>
  <si>
    <t>Average</t>
  </si>
  <si>
    <t>STD</t>
  </si>
  <si>
    <t xml:space="preserve">a </t>
  </si>
  <si>
    <t xml:space="preserve">b </t>
  </si>
  <si>
    <t>Basin</t>
  </si>
  <si>
    <t>Area of the basin</t>
  </si>
  <si>
    <t>(Hectares)</t>
  </si>
  <si>
    <t>Division of basin area (%)</t>
  </si>
  <si>
    <t>Drainage Length</t>
  </si>
  <si>
    <t>(m)</t>
  </si>
  <si>
    <t>Slope of the basin</t>
  </si>
  <si>
    <t>Manning’s coefficient for basin</t>
  </si>
  <si>
    <t>I</t>
  </si>
  <si>
    <t>Residential</t>
  </si>
  <si>
    <t>Lawn and open space</t>
  </si>
  <si>
    <t>Paved street roads</t>
  </si>
  <si>
    <t>II</t>
  </si>
  <si>
    <t>III</t>
  </si>
  <si>
    <t>IV</t>
  </si>
  <si>
    <t>V</t>
  </si>
  <si>
    <t>Pipeline</t>
  </si>
  <si>
    <t>Length of pipeline (m)</t>
  </si>
  <si>
    <t>Avg. slope</t>
  </si>
  <si>
    <t>21-31</t>
  </si>
  <si>
    <t>31-41</t>
  </si>
  <si>
    <t>23-31</t>
  </si>
  <si>
    <t>44-41</t>
  </si>
  <si>
    <t>54-41</t>
  </si>
  <si>
    <t>Manhole</t>
  </si>
  <si>
    <t>Reduced level of the Manhole (m)</t>
  </si>
  <si>
    <t>Sewer</t>
  </si>
  <si>
    <t>Run-off Coefficient (Cj)</t>
  </si>
  <si>
    <t>CjAj</t>
  </si>
  <si>
    <t>Sum(CjAj)</t>
  </si>
  <si>
    <t>Time of concentration (tc)</t>
  </si>
  <si>
    <t>Design Rain Intensity</t>
  </si>
  <si>
    <t>11 to 21</t>
  </si>
  <si>
    <t>Area% (Aj)</t>
  </si>
  <si>
    <t>21 to 31</t>
  </si>
  <si>
    <t>Length L(m)</t>
  </si>
  <si>
    <t>Slope S</t>
  </si>
  <si>
    <t>Diameter used (m)</t>
  </si>
  <si>
    <t>Required Diameter (m)</t>
  </si>
  <si>
    <t>Flow Velocity V(m/sec)</t>
  </si>
  <si>
    <t>Sewer flow time (min)</t>
  </si>
  <si>
    <t>SL (m)</t>
  </si>
  <si>
    <t>Design Discharge Qp, (m^3/sec)</t>
  </si>
  <si>
    <t>Area (hectares)</t>
  </si>
  <si>
    <t>Area (km^2)</t>
  </si>
  <si>
    <t>Ceq for each basin</t>
  </si>
  <si>
    <t>31 to 41</t>
  </si>
  <si>
    <t>Type of area</t>
  </si>
  <si>
    <t>41 to 51</t>
  </si>
  <si>
    <t>23 to 31</t>
  </si>
  <si>
    <t>44 to 41</t>
  </si>
  <si>
    <t>54 to 41</t>
  </si>
  <si>
    <t>Mix</t>
  </si>
  <si>
    <t>k</t>
  </si>
  <si>
    <t>a</t>
  </si>
  <si>
    <t>n</t>
  </si>
  <si>
    <t>Least Square sum</t>
  </si>
  <si>
    <t>Final equation</t>
  </si>
  <si>
    <t>Design Rain Duration</t>
  </si>
  <si>
    <t>Upstream Sewer flow time (min)</t>
  </si>
  <si>
    <t>Contributing Basin/Upstream Sewer</t>
  </si>
  <si>
    <t>Mix Distribution Data</t>
  </si>
  <si>
    <t>Mix distribution through fitted curve</t>
  </si>
  <si>
    <t>Least Square Difference</t>
  </si>
  <si>
    <t>Basin I</t>
  </si>
  <si>
    <t xml:space="preserve">Return Period </t>
  </si>
  <si>
    <t>Basin III</t>
  </si>
  <si>
    <t>Basin II</t>
  </si>
  <si>
    <t>Basin IV</t>
  </si>
  <si>
    <t>Basin V</t>
  </si>
  <si>
    <t>Time of duratiom</t>
  </si>
  <si>
    <t>Statistics of data</t>
  </si>
  <si>
    <t>Gutter</t>
  </si>
  <si>
    <t>Sx</t>
  </si>
  <si>
    <t>Sl</t>
  </si>
  <si>
    <t>Kc</t>
  </si>
  <si>
    <t>Curb</t>
  </si>
  <si>
    <t>Ko</t>
  </si>
  <si>
    <t xml:space="preserve">Number of inlets </t>
  </si>
  <si>
    <t>Design spread of gutter (m)</t>
  </si>
  <si>
    <t>Return Period</t>
  </si>
  <si>
    <t>F(Km)</t>
  </si>
  <si>
    <t>Km</t>
  </si>
  <si>
    <t>km from solver</t>
  </si>
  <si>
    <t>Probable maximum rainfall</t>
  </si>
  <si>
    <t>Return Period (yr)</t>
  </si>
  <si>
    <t>Rainfall Intensity for 20 yr return period</t>
  </si>
  <si>
    <t>Precipitation for individual time</t>
  </si>
  <si>
    <t>Part E</t>
  </si>
  <si>
    <t xml:space="preserve">No water clogging will happen in any basin because Designed discharge is higher than peak discharge for every basin  </t>
  </si>
  <si>
    <t>F(km)</t>
  </si>
  <si>
    <t>i</t>
  </si>
  <si>
    <t>Upstream Crown Elevation (m)</t>
  </si>
  <si>
    <t>Upstream Invert Elevation (m)</t>
  </si>
  <si>
    <t>Downstream Crown Elevation (m)</t>
  </si>
  <si>
    <t>Downstream Invert Elevation (m)</t>
  </si>
  <si>
    <t>Time (min)</t>
  </si>
  <si>
    <t>Hyetograph height</t>
  </si>
  <si>
    <t>Sorted height</t>
  </si>
  <si>
    <t>Final Hyetograph height</t>
  </si>
  <si>
    <t>Inlet Time (min)</t>
  </si>
  <si>
    <t>Design discharge of curb opening (m^3/s)</t>
  </si>
  <si>
    <t>Design Discharge (m^3/s)</t>
  </si>
  <si>
    <t>Peak discharge (m^3/s)</t>
  </si>
  <si>
    <t>Max intensity (mm)</t>
  </si>
  <si>
    <t>Inlet time (min)</t>
  </si>
  <si>
    <t>Design Rain Intensity (mm)</t>
  </si>
  <si>
    <t>Assumed length of Curb Opening (m)</t>
  </si>
  <si>
    <t>Gumbel Distribution Parameters</t>
  </si>
  <si>
    <t>Log-Normal Distribution Parameters</t>
  </si>
  <si>
    <t>Mean of 12hr rainfall data</t>
  </si>
  <si>
    <t>STD of 12hr rainfall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</si>
</sst>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2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theme="0" tint="-0.34998626667073579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 applyBorder="1"/>
    <xf numFmtId="0" fontId="16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16" fillId="0" borderId="13" xfId="0" applyFont="1" applyFill="1" applyBorder="1"/>
    <xf numFmtId="0" fontId="16" fillId="0" borderId="0" xfId="0" applyFont="1" applyAlignment="1"/>
    <xf numFmtId="0" fontId="17" fillId="29" borderId="0" xfId="38"/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17" fontId="21" fillId="0" borderId="23" xfId="0" applyNumberFormat="1" applyFont="1" applyBorder="1" applyAlignment="1">
      <alignment vertical="center" wrapText="1"/>
    </xf>
    <xf numFmtId="0" fontId="21" fillId="0" borderId="23" xfId="0" applyFont="1" applyBorder="1" applyAlignment="1">
      <alignment vertical="center" wrapText="1"/>
    </xf>
    <xf numFmtId="0" fontId="16" fillId="0" borderId="0" xfId="0" applyFont="1" applyAlignment="1">
      <alignment wrapText="1"/>
    </xf>
    <xf numFmtId="0" fontId="17" fillId="25" borderId="0" xfId="34" applyAlignment="1">
      <alignment wrapText="1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13" xfId="0" applyFont="1" applyFill="1" applyBorder="1" applyAlignment="1">
      <alignment horizontal="left"/>
    </xf>
    <xf numFmtId="0" fontId="0" fillId="0" borderId="31" xfId="0" applyBorder="1"/>
    <xf numFmtId="0" fontId="0" fillId="0" borderId="25" xfId="0" applyBorder="1"/>
    <xf numFmtId="0" fontId="0" fillId="0" borderId="32" xfId="0" applyBorder="1"/>
    <xf numFmtId="0" fontId="0" fillId="0" borderId="30" xfId="0" applyBorder="1"/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0" fillId="0" borderId="0" xfId="0" applyAlignment="1">
      <alignment wrapText="1"/>
    </xf>
    <xf numFmtId="0" fontId="6" fillId="2" borderId="0" xfId="6"/>
    <xf numFmtId="0" fontId="23" fillId="9" borderId="0" xfId="18" applyFont="1"/>
    <xf numFmtId="0" fontId="0" fillId="0" borderId="24" xfId="0" applyBorder="1" applyAlignment="1">
      <alignment wrapText="1"/>
    </xf>
    <xf numFmtId="0" fontId="0" fillId="0" borderId="24" xfId="0" applyBorder="1"/>
    <xf numFmtId="0" fontId="16" fillId="0" borderId="17" xfId="0" applyFont="1" applyBorder="1" applyAlignment="1">
      <alignment wrapText="1"/>
    </xf>
    <xf numFmtId="0" fontId="16" fillId="0" borderId="34" xfId="0" applyFont="1" applyBorder="1" applyAlignment="1">
      <alignment wrapText="1"/>
    </xf>
    <xf numFmtId="0" fontId="22" fillId="33" borderId="15" xfId="0" applyFont="1" applyFill="1" applyBorder="1" applyAlignment="1">
      <alignment horizontal="center" vertical="center" wrapText="1"/>
    </xf>
    <xf numFmtId="0" fontId="0" fillId="0" borderId="35" xfId="0" applyBorder="1"/>
    <xf numFmtId="0" fontId="0" fillId="0" borderId="33" xfId="0" applyBorder="1"/>
    <xf numFmtId="0" fontId="0" fillId="0" borderId="36" xfId="0" applyFont="1" applyBorder="1"/>
    <xf numFmtId="0" fontId="0" fillId="0" borderId="12" xfId="0" applyBorder="1"/>
    <xf numFmtId="0" fontId="0" fillId="0" borderId="37" xfId="0" applyBorder="1"/>
    <xf numFmtId="0" fontId="0" fillId="0" borderId="10" xfId="0" applyFont="1" applyBorder="1"/>
    <xf numFmtId="0" fontId="0" fillId="0" borderId="10" xfId="0" applyBorder="1"/>
    <xf numFmtId="0" fontId="0" fillId="0" borderId="33" xfId="0" applyBorder="1" applyAlignment="1">
      <alignment wrapText="1"/>
    </xf>
    <xf numFmtId="0" fontId="20" fillId="0" borderId="17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0" borderId="35" xfId="0" applyFont="1" applyBorder="1" applyAlignment="1">
      <alignment vertical="center" wrapText="1"/>
    </xf>
    <xf numFmtId="0" fontId="21" fillId="0" borderId="33" xfId="0" applyFont="1" applyBorder="1" applyAlignment="1">
      <alignment vertical="center" wrapText="1"/>
    </xf>
    <xf numFmtId="0" fontId="0" fillId="0" borderId="33" xfId="0" applyNumberFormat="1" applyBorder="1"/>
    <xf numFmtId="0" fontId="0" fillId="0" borderId="36" xfId="0" applyNumberFormat="1" applyBorder="1"/>
    <xf numFmtId="0" fontId="21" fillId="0" borderId="12" xfId="0" applyFont="1" applyBorder="1" applyAlignment="1">
      <alignment vertical="center" wrapText="1"/>
    </xf>
    <xf numFmtId="0" fontId="21" fillId="0" borderId="37" xfId="0" applyFont="1" applyBorder="1" applyAlignment="1">
      <alignment vertical="center" wrapText="1"/>
    </xf>
    <xf numFmtId="0" fontId="0" fillId="0" borderId="37" xfId="0" applyNumberFormat="1" applyBorder="1"/>
    <xf numFmtId="0" fontId="0" fillId="0" borderId="10" xfId="0" applyNumberFormat="1" applyBorder="1"/>
    <xf numFmtId="0" fontId="0" fillId="0" borderId="36" xfId="0" applyBorder="1"/>
    <xf numFmtId="0" fontId="8" fillId="4" borderId="33" xfId="8" applyBorder="1"/>
    <xf numFmtId="0" fontId="1" fillId="23" borderId="33" xfId="32" applyBorder="1"/>
    <xf numFmtId="0" fontId="1" fillId="23" borderId="33" xfId="32" applyBorder="1" applyAlignment="1">
      <alignment wrapText="1"/>
    </xf>
    <xf numFmtId="0" fontId="0" fillId="0" borderId="17" xfId="0" applyFont="1" applyBorder="1" applyAlignment="1">
      <alignment horizontal="center"/>
    </xf>
    <xf numFmtId="0" fontId="0" fillId="0" borderId="34" xfId="0" applyFont="1" applyBorder="1"/>
    <xf numFmtId="0" fontId="0" fillId="0" borderId="15" xfId="0" applyFont="1" applyBorder="1"/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6" fillId="0" borderId="33" xfId="0" applyFont="1" applyBorder="1"/>
    <xf numFmtId="0" fontId="16" fillId="0" borderId="33" xfId="0" applyFont="1" applyBorder="1" applyAlignment="1">
      <alignment horizontal="center"/>
    </xf>
    <xf numFmtId="0" fontId="16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left"/>
    </xf>
    <xf numFmtId="0" fontId="0" fillId="0" borderId="33" xfId="0" applyFont="1" applyBorder="1" applyAlignment="1">
      <alignment horizontal="center"/>
    </xf>
    <xf numFmtId="0" fontId="0" fillId="0" borderId="33" xfId="0" applyFont="1" applyBorder="1"/>
    <xf numFmtId="0" fontId="18" fillId="0" borderId="33" xfId="0" applyFont="1" applyBorder="1"/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3" xfId="0" applyBorder="1" applyAlignment="1">
      <alignment horizontal="center"/>
    </xf>
    <xf numFmtId="0" fontId="17" fillId="29" borderId="33" xfId="38" applyBorder="1"/>
    <xf numFmtId="0" fontId="0" fillId="0" borderId="34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27" borderId="33" xfId="36" applyBorder="1"/>
    <xf numFmtId="0" fontId="1" fillId="31" borderId="33" xfId="4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12" xfId="0" applyBorder="1" applyAlignment="1">
      <alignment horizontal="center" wrapText="1"/>
    </xf>
    <xf numFmtId="0" fontId="6" fillId="2" borderId="0" xfId="6" applyAlignment="1"/>
    <xf numFmtId="0" fontId="16" fillId="0" borderId="0" xfId="0" applyFont="1" applyAlignment="1">
      <alignment vertical="center"/>
    </xf>
    <xf numFmtId="0" fontId="0" fillId="0" borderId="20" xfId="0" applyBorder="1" applyAlignment="1"/>
    <xf numFmtId="0" fontId="0" fillId="0" borderId="2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5" xfId="0" applyBorder="1" applyAlignment="1">
      <alignment wrapText="1"/>
    </xf>
    <xf numFmtId="0" fontId="13" fillId="34" borderId="33" xfId="0" applyFont="1" applyFill="1" applyBorder="1" applyAlignment="1">
      <alignment wrapText="1"/>
    </xf>
    <xf numFmtId="11" fontId="0" fillId="0" borderId="0" xfId="0" applyNumberFormat="1"/>
    <xf numFmtId="0" fontId="0" fillId="35" borderId="24" xfId="0" applyFill="1" applyBorder="1" applyAlignment="1">
      <alignment wrapText="1"/>
    </xf>
    <xf numFmtId="0" fontId="1" fillId="35" borderId="33" xfId="36" applyFill="1" applyBorder="1"/>
    <xf numFmtId="0" fontId="1" fillId="35" borderId="33" xfId="40" applyFill="1" applyBorder="1"/>
    <xf numFmtId="0" fontId="1" fillId="35" borderId="33" xfId="36" applyFill="1" applyBorder="1" applyAlignment="1">
      <alignment horizontal="center"/>
    </xf>
    <xf numFmtId="0" fontId="1" fillId="27" borderId="33" xfId="36" applyBorder="1" applyAlignment="1">
      <alignment horizontal="center"/>
    </xf>
    <xf numFmtId="0" fontId="1" fillId="35" borderId="33" xfId="40" applyFill="1" applyBorder="1" applyAlignment="1">
      <alignment horizontal="center"/>
    </xf>
    <xf numFmtId="0" fontId="1" fillId="31" borderId="33" xfId="4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4" borderId="33" xfId="8" applyBorder="1" applyAlignment="1">
      <alignment horizontal="center"/>
    </xf>
    <xf numFmtId="0" fontId="17" fillId="25" borderId="0" xfId="34" applyAlignment="1">
      <alignment horizontal="center"/>
    </xf>
    <xf numFmtId="0" fontId="13" fillId="13" borderId="41" xfId="22" applyFont="1" applyBorder="1" applyAlignment="1">
      <alignment horizontal="center"/>
    </xf>
    <xf numFmtId="0" fontId="13" fillId="13" borderId="0" xfId="22" applyFont="1" applyAlignment="1">
      <alignment horizontal="center"/>
    </xf>
    <xf numFmtId="0" fontId="19" fillId="2" borderId="0" xfId="6" applyFont="1" applyAlignment="1">
      <alignment horizontal="center" vertical="center"/>
    </xf>
    <xf numFmtId="0" fontId="16" fillId="0" borderId="33" xfId="0" applyFont="1" applyBorder="1" applyAlignment="1">
      <alignment horizontal="center"/>
    </xf>
    <xf numFmtId="0" fontId="17" fillId="29" borderId="33" xfId="38" applyBorder="1" applyAlignment="1">
      <alignment horizontal="center"/>
    </xf>
    <xf numFmtId="0" fontId="16" fillId="0" borderId="33" xfId="0" applyFont="1" applyBorder="1" applyAlignment="1">
      <alignment horizontal="center" vertical="center"/>
    </xf>
    <xf numFmtId="0" fontId="19" fillId="2" borderId="0" xfId="6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29" borderId="0" xfId="38" applyAlignment="1">
      <alignment horizontal="center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19" fillId="2" borderId="29" xfId="6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19" fillId="2" borderId="27" xfId="6" applyFont="1" applyBorder="1" applyAlignment="1">
      <alignment horizontal="center"/>
    </xf>
    <xf numFmtId="0" fontId="19" fillId="2" borderId="31" xfId="6" applyFont="1" applyBorder="1" applyAlignment="1">
      <alignment horizontal="center"/>
    </xf>
    <xf numFmtId="0" fontId="19" fillId="2" borderId="25" xfId="6" applyFont="1" applyBorder="1" applyAlignment="1">
      <alignment horizontal="center"/>
    </xf>
    <xf numFmtId="0" fontId="20" fillId="0" borderId="2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9" fillId="2" borderId="0" xfId="6" applyFont="1" applyAlignment="1">
      <alignment horizontal="center" wrapText="1"/>
    </xf>
    <xf numFmtId="0" fontId="0" fillId="35" borderId="3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general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IDF</a:t>
            </a:r>
            <a:r>
              <a:rPr lang="en-IN" baseline="0"/>
              <a:t> Curves for gumbel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'IDF Curve'!$D$4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'IDF Curve'!$C$5:$C$13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Curve'!$D$5:$D$13</c:f>
              <c:numCache>
                <c:formatCode>General</c:formatCode>
                <c:ptCount val="9"/>
                <c:pt idx="0">
                  <c:v>23.819306612258028</c:v>
                </c:pt>
                <c:pt idx="1">
                  <c:v>20.832345483185534</c:v>
                </c:pt>
                <c:pt idx="2">
                  <c:v>23.846464241350979</c:v>
                </c:pt>
                <c:pt idx="3">
                  <c:v>23.672643158944311</c:v>
                </c:pt>
                <c:pt idx="4">
                  <c:v>13.618608492220671</c:v>
                </c:pt>
                <c:pt idx="5">
                  <c:v>9.7836819085461233</c:v>
                </c:pt>
                <c:pt idx="6">
                  <c:v>5.0588112488612893</c:v>
                </c:pt>
                <c:pt idx="7">
                  <c:v>3.7138049974540026</c:v>
                </c:pt>
                <c:pt idx="8">
                  <c:v>2.4888967247715632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C-48A1-ABE2-8FE218B741A0}"/>
            </c:ext>
          </c:extLst>
        </c:ser>
        <c:ser>
          <c:idx val="1"/>
          <c:order val="1"/>
          <c:tx>
            <c:strRef>
              <c:f>'IDF Curve'!$E$4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'IDF Curve'!$C$5:$C$13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Curve'!$E$5:$E$13</c:f>
              <c:numCache>
                <c:formatCode>General</c:formatCode>
                <c:ptCount val="9"/>
                <c:pt idx="0">
                  <c:v>25.937964635658467</c:v>
                </c:pt>
                <c:pt idx="1">
                  <c:v>22.808572661748691</c:v>
                </c:pt>
                <c:pt idx="2">
                  <c:v>25.839724273586896</c:v>
                </c:pt>
                <c:pt idx="3">
                  <c:v>25.596341631345435</c:v>
                </c:pt>
                <c:pt idx="4">
                  <c:v>14.886202061799334</c:v>
                </c:pt>
                <c:pt idx="5">
                  <c:v>10.628189066630362</c:v>
                </c:pt>
                <c:pt idx="6">
                  <c:v>5.5207298481632101</c:v>
                </c:pt>
                <c:pt idx="7">
                  <c:v>4.0786761852513456</c:v>
                </c:pt>
                <c:pt idx="8">
                  <c:v>2.7213595324705024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C-48A1-ABE2-8FE218B741A0}"/>
            </c:ext>
          </c:extLst>
        </c:ser>
        <c:ser>
          <c:idx val="2"/>
          <c:order val="2"/>
          <c:tx>
            <c:strRef>
              <c:f>'IDF Curve'!$F$4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'IDF Curve'!$C$5:$C$13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Curve'!$F$5:$F$13</c:f>
              <c:numCache>
                <c:formatCode>General</c:formatCode>
                <c:ptCount val="9"/>
                <c:pt idx="0">
                  <c:v>27.340700597667016</c:v>
                </c:pt>
                <c:pt idx="1">
                  <c:v>24.117007011158218</c:v>
                </c:pt>
                <c:pt idx="2">
                  <c:v>27.159435854205292</c:v>
                </c:pt>
                <c:pt idx="3">
                  <c:v>26.869997406602167</c:v>
                </c:pt>
                <c:pt idx="4">
                  <c:v>15.725459301816265</c:v>
                </c:pt>
                <c:pt idx="5">
                  <c:v>11.187326288274607</c:v>
                </c:pt>
                <c:pt idx="6">
                  <c:v>5.826560153764615</c:v>
                </c:pt>
                <c:pt idx="7">
                  <c:v>4.3202526600628133</c:v>
                </c:pt>
                <c:pt idx="8">
                  <c:v>2.8752701384235184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C-48A1-ABE2-8FE218B741A0}"/>
            </c:ext>
          </c:extLst>
        </c:ser>
        <c:ser>
          <c:idx val="3"/>
          <c:order val="3"/>
          <c:tx>
            <c:strRef>
              <c:f>'IDF Curve'!$G$4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'IDF Curve'!$C$5:$C$13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Curve'!$G$5:$G$13</c:f>
              <c:numCache>
                <c:formatCode>General</c:formatCode>
                <c:ptCount val="9"/>
                <c:pt idx="0">
                  <c:v>29.11306120424576</c:v>
                </c:pt>
                <c:pt idx="1">
                  <c:v>25.770217280229378</c:v>
                </c:pt>
                <c:pt idx="2">
                  <c:v>28.826894934804216</c:v>
                </c:pt>
                <c:pt idx="3">
                  <c:v>28.479264855035048</c:v>
                </c:pt>
                <c:pt idx="4">
                  <c:v>16.785863049405467</c:v>
                </c:pt>
                <c:pt idx="5">
                  <c:v>11.893797650066144</c:v>
                </c:pt>
                <c:pt idx="6">
                  <c:v>6.2129775556324107</c:v>
                </c:pt>
                <c:pt idx="7">
                  <c:v>4.625485176393922</c:v>
                </c:pt>
                <c:pt idx="8">
                  <c:v>3.0697365970542605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C-48A1-ABE2-8FE218B741A0}"/>
            </c:ext>
          </c:extLst>
        </c:ser>
        <c:ser>
          <c:idx val="4"/>
          <c:order val="4"/>
          <c:tx>
            <c:strRef>
              <c:f>'IDF Curve'!$H$4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'IDF Curve'!$C$5:$C$13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Curve'!$H$5:$H$13</c:f>
              <c:numCache>
                <c:formatCode>General</c:formatCode>
                <c:ptCount val="9"/>
                <c:pt idx="0">
                  <c:v>30.427899549641143</c:v>
                </c:pt>
                <c:pt idx="1">
                  <c:v>26.996663098708815</c:v>
                </c:pt>
                <c:pt idx="2">
                  <c:v>30.063911335649042</c:v>
                </c:pt>
                <c:pt idx="3">
                  <c:v>29.673111378898266</c:v>
                </c:pt>
                <c:pt idx="4">
                  <c:v>17.572531125730322</c:v>
                </c:pt>
                <c:pt idx="5">
                  <c:v>12.417898463952035</c:v>
                </c:pt>
                <c:pt idx="6">
                  <c:v>6.4996440587232227</c:v>
                </c:pt>
                <c:pt idx="7">
                  <c:v>4.8519240936458505</c:v>
                </c:pt>
                <c:pt idx="8">
                  <c:v>3.2140029251095408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C-48A1-ABE2-8FE218B74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454336"/>
        <c:axId val="854455168"/>
      </c:lineChart>
      <c:catAx>
        <c:axId val="85445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  <a:r>
                  <a:rPr lang="en-IN" baseline="0"/>
                  <a:t> (min)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55168"/>
        <c:crosses val="autoZero"/>
        <c:auto val="1"/>
        <c:lblAlgn val="ctr"/>
        <c:lblOffset val="100"/>
        <c:noMultiLvlLbl val="0"/>
      </c:catAx>
      <c:valAx>
        <c:axId val="8544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Intensity (mm/hr)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5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IDF</a:t>
            </a:r>
            <a:r>
              <a:rPr lang="en-IN" baseline="0"/>
              <a:t> curves for Log Normal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604371164690235E-2"/>
          <c:y val="0.13062284107874522"/>
          <c:w val="0.9030809489733989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'IDF Curve'!$M$4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'IDF Curve'!$L$5:$L$13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Curve'!$M$5:$M$13</c:f>
              <c:numCache>
                <c:formatCode>General</c:formatCode>
                <c:ptCount val="9"/>
                <c:pt idx="0">
                  <c:v>24.095307536195055</c:v>
                </c:pt>
                <c:pt idx="1">
                  <c:v>21.082723145011443</c:v>
                </c:pt>
                <c:pt idx="2">
                  <c:v>24.112619405002853</c:v>
                </c:pt>
                <c:pt idx="3">
                  <c:v>23.932235280493884</c:v>
                </c:pt>
                <c:pt idx="4">
                  <c:v>13.780571716081552</c:v>
                </c:pt>
                <c:pt idx="5">
                  <c:v>9.895044455697855</c:v>
                </c:pt>
                <c:pt idx="6">
                  <c:v>5.1183253129753954</c:v>
                </c:pt>
                <c:pt idx="7">
                  <c:v>3.7592888668481175</c:v>
                </c:pt>
                <c:pt idx="8">
                  <c:v>2.5185538243450702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4-47DE-BB16-3485A1A908C3}"/>
            </c:ext>
          </c:extLst>
        </c:ser>
        <c:ser>
          <c:idx val="1"/>
          <c:order val="1"/>
          <c:tx>
            <c:strRef>
              <c:f>'IDF Curve'!$N$4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'IDF Curve'!$L$5:$L$13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Curve'!$N$5:$N$13</c:f>
              <c:numCache>
                <c:formatCode>General</c:formatCode>
                <c:ptCount val="9"/>
                <c:pt idx="0">
                  <c:v>26.183952810572737</c:v>
                </c:pt>
                <c:pt idx="1">
                  <c:v>23.034383233092477</c:v>
                </c:pt>
                <c:pt idx="2">
                  <c:v>26.07440541364646</c:v>
                </c:pt>
                <c:pt idx="3">
                  <c:v>25.824172783459439</c:v>
                </c:pt>
                <c:pt idx="4">
                  <c:v>15.031752080417691</c:v>
                </c:pt>
                <c:pt idx="5">
                  <c:v>10.72692081987066</c:v>
                </c:pt>
                <c:pt idx="6">
                  <c:v>5.5740237676831592</c:v>
                </c:pt>
                <c:pt idx="7">
                  <c:v>4.1199762038503316</c:v>
                </c:pt>
                <c:pt idx="8">
                  <c:v>2.7480283938735486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4-47DE-BB16-3485A1A908C3}"/>
            </c:ext>
          </c:extLst>
        </c:ser>
        <c:ser>
          <c:idx val="2"/>
          <c:order val="2"/>
          <c:tx>
            <c:strRef>
              <c:f>'IDF Curve'!$O$4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'IDF Curve'!$L$5:$L$13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Curve'!$O$5:$O$13</c:f>
              <c:numCache>
                <c:formatCode>General</c:formatCode>
                <c:ptCount val="9"/>
                <c:pt idx="0">
                  <c:v>27.346814793188145</c:v>
                </c:pt>
                <c:pt idx="1">
                  <c:v>24.125427789887436</c:v>
                </c:pt>
                <c:pt idx="2">
                  <c:v>27.162588010872348</c:v>
                </c:pt>
                <c:pt idx="3">
                  <c:v>26.871917744830338</c:v>
                </c:pt>
                <c:pt idx="4">
                  <c:v>15.730343605307073</c:v>
                </c:pt>
                <c:pt idx="5">
                  <c:v>11.18922894183148</c:v>
                </c:pt>
                <c:pt idx="6">
                  <c:v>5.8281506212379579</c:v>
                </c:pt>
                <c:pt idx="7">
                  <c:v>4.3220832493574406</c:v>
                </c:pt>
                <c:pt idx="8">
                  <c:v>2.8761830651410127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4-47DE-BB16-3485A1A908C3}"/>
            </c:ext>
          </c:extLst>
        </c:ser>
        <c:ser>
          <c:idx val="3"/>
          <c:order val="3"/>
          <c:tx>
            <c:strRef>
              <c:f>'IDF Curve'!$P$4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'IDF Curve'!$L$5:$L$13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Curve'!$P$5:$P$13</c:f>
              <c:numCache>
                <c:formatCode>General</c:formatCode>
                <c:ptCount val="9"/>
                <c:pt idx="0">
                  <c:v>28.643827558664093</c:v>
                </c:pt>
                <c:pt idx="1">
                  <c:v>25.345896956953158</c:v>
                </c:pt>
                <c:pt idx="2">
                  <c:v>28.373089999961685</c:v>
                </c:pt>
                <c:pt idx="3">
                  <c:v>28.03609341200703</c:v>
                </c:pt>
                <c:pt idx="4">
                  <c:v>16.511117598156485</c:v>
                </c:pt>
                <c:pt idx="5">
                  <c:v>11.704199904498051</c:v>
                </c:pt>
                <c:pt idx="6">
                  <c:v>6.1119252556788286</c:v>
                </c:pt>
                <c:pt idx="7">
                  <c:v>4.5485421394487853</c:v>
                </c:pt>
                <c:pt idx="8">
                  <c:v>3.0194366240214876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4-47DE-BB16-3485A1A908C3}"/>
            </c:ext>
          </c:extLst>
        </c:ser>
        <c:ser>
          <c:idx val="4"/>
          <c:order val="4"/>
          <c:tx>
            <c:strRef>
              <c:f>'IDF Curve'!$Q$4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'IDF Curve'!$L$5:$L$13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Curve'!$Q$5:$Q$13</c:f>
              <c:numCache>
                <c:formatCode>General</c:formatCode>
                <c:ptCount val="9"/>
                <c:pt idx="0">
                  <c:v>29.514228322185005</c:v>
                </c:pt>
                <c:pt idx="1">
                  <c:v>26.166958201012488</c:v>
                </c:pt>
                <c:pt idx="2">
                  <c:v>29.183611839013636</c:v>
                </c:pt>
                <c:pt idx="3">
                  <c:v>28.814835423131971</c:v>
                </c:pt>
                <c:pt idx="4">
                  <c:v>17.035986014048518</c:v>
                </c:pt>
                <c:pt idx="5">
                  <c:v>12.049406796753399</c:v>
                </c:pt>
                <c:pt idx="6">
                  <c:v>6.3025493512429547</c:v>
                </c:pt>
                <c:pt idx="7">
                  <c:v>4.7011056338958941</c:v>
                </c:pt>
                <c:pt idx="8">
                  <c:v>3.1157505077194525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34-47DE-BB16-3485A1A90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79728"/>
        <c:axId val="537580368"/>
      </c:lineChart>
      <c:catAx>
        <c:axId val="53757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  <a:r>
                  <a:rPr lang="en-IN" baseline="0"/>
                  <a:t> (min)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0368"/>
        <c:crosses val="autoZero"/>
        <c:auto val="1"/>
        <c:lblAlgn val="ctr"/>
        <c:lblOffset val="100"/>
        <c:noMultiLvlLbl val="0"/>
      </c:catAx>
      <c:valAx>
        <c:axId val="5375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Intensity</a:t>
                </a:r>
                <a:r>
                  <a:rPr lang="en-IN" baseline="0"/>
                  <a:t> (mm/hr)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15444114112326"/>
          <c:y val="0.92556269941385572"/>
          <c:w val="0.5232736996025783"/>
          <c:h val="5.6297189816311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IDF</a:t>
            </a:r>
            <a:r>
              <a:rPr lang="en-IN" baseline="0"/>
              <a:t> curves for mix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46047375602064E-2"/>
          <c:y val="0.13454990604487077"/>
          <c:w val="0.90262164729367167"/>
          <c:h val="0.62270503530302734"/>
        </c:manualLayout>
      </c:layout>
      <c:lineChart>
        <c:grouping val="standard"/>
        <c:varyColors val="0"/>
        <c:ser>
          <c:idx val="0"/>
          <c:order val="0"/>
          <c:tx>
            <c:strRef>
              <c:f>'IDF Curve'!$D$45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'IDF Curve'!$C$46:$C$54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Curve'!$D$46:$D$54</c:f>
              <c:numCache>
                <c:formatCode>General</c:formatCode>
                <c:ptCount val="9"/>
                <c:pt idx="0">
                  <c:v>23.819306612258028</c:v>
                </c:pt>
                <c:pt idx="1">
                  <c:v>21.082723145011443</c:v>
                </c:pt>
                <c:pt idx="2">
                  <c:v>23.846464241350979</c:v>
                </c:pt>
                <c:pt idx="3">
                  <c:v>23.932235280493884</c:v>
                </c:pt>
                <c:pt idx="4">
                  <c:v>13.780571716081552</c:v>
                </c:pt>
                <c:pt idx="5">
                  <c:v>9.895044455697855</c:v>
                </c:pt>
                <c:pt idx="6">
                  <c:v>5.1183253129753954</c:v>
                </c:pt>
                <c:pt idx="7">
                  <c:v>3.7592888668481175</c:v>
                </c:pt>
                <c:pt idx="8">
                  <c:v>2.5185538243450702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B-4F66-841D-3C2975B99B0E}"/>
            </c:ext>
          </c:extLst>
        </c:ser>
        <c:ser>
          <c:idx val="1"/>
          <c:order val="1"/>
          <c:tx>
            <c:strRef>
              <c:f>'IDF Curve'!$E$45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'IDF Curve'!$C$46:$C$54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Curve'!$E$46:$E$54</c:f>
              <c:numCache>
                <c:formatCode>General</c:formatCode>
                <c:ptCount val="9"/>
                <c:pt idx="0">
                  <c:v>25.937964635658467</c:v>
                </c:pt>
                <c:pt idx="1">
                  <c:v>23.034383233092477</c:v>
                </c:pt>
                <c:pt idx="2">
                  <c:v>25.839724273586896</c:v>
                </c:pt>
                <c:pt idx="3">
                  <c:v>25.824172783459439</c:v>
                </c:pt>
                <c:pt idx="4">
                  <c:v>15.031752080417691</c:v>
                </c:pt>
                <c:pt idx="5">
                  <c:v>10.72692081987066</c:v>
                </c:pt>
                <c:pt idx="6">
                  <c:v>5.5740237676831592</c:v>
                </c:pt>
                <c:pt idx="7">
                  <c:v>4.1199762038503316</c:v>
                </c:pt>
                <c:pt idx="8">
                  <c:v>2.7480283938735486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B-4F66-841D-3C2975B99B0E}"/>
            </c:ext>
          </c:extLst>
        </c:ser>
        <c:ser>
          <c:idx val="2"/>
          <c:order val="2"/>
          <c:tx>
            <c:strRef>
              <c:f>'IDF Curve'!$F$45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'IDF Curve'!$C$46:$C$54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Curve'!$F$46:$F$54</c:f>
              <c:numCache>
                <c:formatCode>General</c:formatCode>
                <c:ptCount val="9"/>
                <c:pt idx="0">
                  <c:v>27.340700597667016</c:v>
                </c:pt>
                <c:pt idx="1">
                  <c:v>24.125427789887436</c:v>
                </c:pt>
                <c:pt idx="2">
                  <c:v>27.159435854205292</c:v>
                </c:pt>
                <c:pt idx="3">
                  <c:v>26.871917744830338</c:v>
                </c:pt>
                <c:pt idx="4">
                  <c:v>15.730343605307073</c:v>
                </c:pt>
                <c:pt idx="5">
                  <c:v>11.18922894183148</c:v>
                </c:pt>
                <c:pt idx="6">
                  <c:v>5.8281506212379579</c:v>
                </c:pt>
                <c:pt idx="7">
                  <c:v>4.3220832493574406</c:v>
                </c:pt>
                <c:pt idx="8">
                  <c:v>2.8761830651410127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B-4F66-841D-3C2975B99B0E}"/>
            </c:ext>
          </c:extLst>
        </c:ser>
        <c:ser>
          <c:idx val="3"/>
          <c:order val="3"/>
          <c:tx>
            <c:strRef>
              <c:f>'IDF Curve'!$G$45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'IDF Curve'!$C$46:$C$54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Curve'!$G$46:$G$54</c:f>
              <c:numCache>
                <c:formatCode>General</c:formatCode>
                <c:ptCount val="9"/>
                <c:pt idx="0">
                  <c:v>29.11306120424576</c:v>
                </c:pt>
                <c:pt idx="1">
                  <c:v>25.345896956953158</c:v>
                </c:pt>
                <c:pt idx="2">
                  <c:v>28.826894934804216</c:v>
                </c:pt>
                <c:pt idx="3">
                  <c:v>28.03609341200703</c:v>
                </c:pt>
                <c:pt idx="4">
                  <c:v>16.511117598156485</c:v>
                </c:pt>
                <c:pt idx="5">
                  <c:v>11.704199904498051</c:v>
                </c:pt>
                <c:pt idx="6">
                  <c:v>6.1119252556788286</c:v>
                </c:pt>
                <c:pt idx="7">
                  <c:v>4.5485421394487853</c:v>
                </c:pt>
                <c:pt idx="8">
                  <c:v>3.0194366240214876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4B-4F66-841D-3C2975B99B0E}"/>
            </c:ext>
          </c:extLst>
        </c:ser>
        <c:ser>
          <c:idx val="4"/>
          <c:order val="4"/>
          <c:tx>
            <c:strRef>
              <c:f>'IDF Curve'!$H$45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'IDF Curve'!$C$46:$C$54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360</c:v>
                </c:pt>
                <c:pt idx="7">
                  <c:v>720</c:v>
                </c:pt>
                <c:pt idx="8">
                  <c:v>1440</c:v>
                </c:pt>
              </c:numCache>
            </c:numRef>
          </c:cat>
          <c:val>
            <c:numRef>
              <c:f>'IDF Curve'!$H$46:$H$54</c:f>
              <c:numCache>
                <c:formatCode>General</c:formatCode>
                <c:ptCount val="9"/>
                <c:pt idx="0">
                  <c:v>30.427899549641143</c:v>
                </c:pt>
                <c:pt idx="1">
                  <c:v>26.166958201012488</c:v>
                </c:pt>
                <c:pt idx="2">
                  <c:v>30.063911335649042</c:v>
                </c:pt>
                <c:pt idx="3">
                  <c:v>28.814835423131971</c:v>
                </c:pt>
                <c:pt idx="4">
                  <c:v>17.035986014048518</c:v>
                </c:pt>
                <c:pt idx="5">
                  <c:v>12.049406796753399</c:v>
                </c:pt>
                <c:pt idx="6">
                  <c:v>6.3025493512429547</c:v>
                </c:pt>
                <c:pt idx="7">
                  <c:v>4.7011056338958941</c:v>
                </c:pt>
                <c:pt idx="8">
                  <c:v>3.1157505077194525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4B-4F66-841D-3C2975B99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52280"/>
        <c:axId val="640056120"/>
      </c:lineChart>
      <c:catAx>
        <c:axId val="64005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  <a:r>
                  <a:rPr lang="en-IN" baseline="0"/>
                  <a:t> (min)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6120"/>
        <c:crosses val="autoZero"/>
        <c:auto val="1"/>
        <c:lblAlgn val="ctr"/>
        <c:lblOffset val="100"/>
        <c:noMultiLvlLbl val="0"/>
      </c:catAx>
      <c:valAx>
        <c:axId val="64005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Intensity</a:t>
                </a:r>
                <a:r>
                  <a:rPr lang="en-IN" baseline="0"/>
                  <a:t> (mm/hr)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 hour storm Hyetograph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D'!$H$8</c:f>
              <c:strCache>
                <c:ptCount val="1"/>
                <c:pt idx="0">
                  <c:v>Final Hyetograph 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D'!$C$9:$C$23</c:f>
              <c:numCache>
                <c:formatCode>General</c:formatCode>
                <c:ptCount val="1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</c:numCache>
            </c:numRef>
          </c:cat>
          <c:val>
            <c:numRef>
              <c:f>'Part D'!$H$9:$H$23</c:f>
              <c:numCache>
                <c:formatCode>General</c:formatCode>
                <c:ptCount val="15"/>
                <c:pt idx="0">
                  <c:v>0.86458996661358256</c:v>
                </c:pt>
                <c:pt idx="1">
                  <c:v>0.9873911345640245</c:v>
                </c:pt>
                <c:pt idx="2">
                  <c:v>1.1455762769735571</c:v>
                </c:pt>
                <c:pt idx="3">
                  <c:v>1.3553512794234308</c:v>
                </c:pt>
                <c:pt idx="4">
                  <c:v>1.6438068457809134</c:v>
                </c:pt>
                <c:pt idx="5">
                  <c:v>2.0592997125385555</c:v>
                </c:pt>
                <c:pt idx="6">
                  <c:v>2.6958074667655136</c:v>
                </c:pt>
                <c:pt idx="7">
                  <c:v>3.7582334389008785</c:v>
                </c:pt>
                <c:pt idx="8">
                  <c:v>3.1529128503076724</c:v>
                </c:pt>
                <c:pt idx="9">
                  <c:v>2.3410089240337921</c:v>
                </c:pt>
                <c:pt idx="10">
                  <c:v>1.831320954014851</c:v>
                </c:pt>
                <c:pt idx="11">
                  <c:v>1.4874034777964624</c:v>
                </c:pt>
                <c:pt idx="12">
                  <c:v>1.2426600749780938</c:v>
                </c:pt>
                <c:pt idx="13">
                  <c:v>1.061229286701721</c:v>
                </c:pt>
                <c:pt idx="14">
                  <c:v>0.92230957658999202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B-41A8-A67C-1CB99D08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376248"/>
        <c:axId val="627379128"/>
      </c:barChart>
      <c:catAx>
        <c:axId val="627376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(min)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79128"/>
        <c:crosses val="autoZero"/>
        <c:auto val="1"/>
        <c:lblAlgn val="ctr"/>
        <c:lblOffset val="100"/>
        <c:noMultiLvlLbl val="0"/>
      </c:catAx>
      <c:valAx>
        <c:axId val="62737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Precipitation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76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8</xdr:col>
      <xdr:colOff>544286</xdr:colOff>
      <xdr:row>36</xdr:row>
      <xdr:rowOff>80682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3D97C-281D-42C5-ACF1-758DD4BD2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572526</xdr:colOff>
      <xdr:row>16</xdr:row>
      <xdr:rowOff>9232</xdr:rowOff>
    </xdr:from>
    <xdr:to>
      <xdr:col>17</xdr:col>
      <xdr:colOff>277983</xdr:colOff>
      <xdr:row>36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E9003-8D54-416B-824F-946AF3680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513182</xdr:colOff>
      <xdr:row>84</xdr:row>
      <xdr:rowOff>7775</xdr:rowOff>
    </xdr:from>
    <xdr:ext cx="1104124" cy="855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38C142A-28EC-420E-8BF6-740FB430E675}"/>
                </a:ext>
              </a:extLst>
            </xdr:cNvPr>
            <xdr:cNvSpPr txBox="1"/>
          </xdr:nvSpPr>
          <xdr:spPr>
            <a:xfrm>
              <a:off x="1726162" y="16281918"/>
              <a:ext cx="1104124" cy="855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768.15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0.067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+65.73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0.82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 b="0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38C142A-28EC-420E-8BF6-740FB430E675}"/>
                </a:ext>
              </a:extLst>
            </xdr:cNvPr>
            <xdr:cNvSpPr txBox="1"/>
          </xdr:nvSpPr>
          <xdr:spPr>
            <a:xfrm>
              <a:off x="1726162" y="16281918"/>
              <a:ext cx="1104124" cy="855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(768.15𝑇^0.067)/(𝐷+65.73)^0.82 </a:t>
              </a:r>
              <a:endParaRPr lang="en-US" sz="1100" b="0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8</xdr:col>
      <xdr:colOff>583164</xdr:colOff>
      <xdr:row>40</xdr:row>
      <xdr:rowOff>178836</xdr:rowOff>
    </xdr:from>
    <xdr:to>
      <xdr:col>16</xdr:col>
      <xdr:colOff>293720</xdr:colOff>
      <xdr:row>60</xdr:row>
      <xdr:rowOff>156430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0AC5F0-8A62-4461-AFC0-A711E1C65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8194</xdr:colOff>
      <xdr:row>1</xdr:row>
      <xdr:rowOff>16387</xdr:rowOff>
    </xdr:from>
    <xdr:to>
      <xdr:col>11</xdr:col>
      <xdr:colOff>639021</xdr:colOff>
      <xdr:row>17</xdr:row>
      <xdr:rowOff>432486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D071B3-8FCA-45CC-AC6E-218FAA8CB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26951" y="212036"/>
          <a:ext cx="5984833" cy="6440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25</xdr:row>
      <xdr:rowOff>0</xdr:rowOff>
    </xdr:from>
    <xdr:to>
      <xdr:col>8</xdr:col>
      <xdr:colOff>289560</xdr:colOff>
      <xdr:row>40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A08C4E-9281-4212-9D4D-A0FFECFE9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E25371-A5C5-4A2C-8314-6884F3B704B7}" name="Table7" displayName="Table7" ref="A1:J51" totalsRowShown="0" headerRowDxfId="53" headerRowBorderDxfId="52" tableBorderDxfId="51" totalsRowBorderDxfId="50">
  <autoFilter ref="A1:J51" xr:uid="{F4231281-DF10-489E-81F6-BCE2A14F23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5F3FB8D-467F-47E8-99FC-91982D902F07}" name="Years" dataDxfId="49"/>
    <tableColumn id="2" xr3:uid="{2BC41BDD-DB2B-4D61-82E7-6BA8612BF9F4}" name="5 minute" dataDxfId="48"/>
    <tableColumn id="3" xr3:uid="{E3915FCF-B15B-4B9D-98D9-1A8769046630}" name="10 minute" dataDxfId="47"/>
    <tableColumn id="4" xr3:uid="{C4A90295-C901-40E0-9066-C5131B90CC38}" name="15 minute" dataDxfId="46"/>
    <tableColumn id="5" xr3:uid="{ECA58EAC-9CC0-4782-B1A9-A6744DEF0655}" name="30 minute" dataDxfId="45"/>
    <tableColumn id="6" xr3:uid="{256D2933-2875-46AB-B182-097496A428C0}" name="1 hour" dataDxfId="44"/>
    <tableColumn id="7" xr3:uid="{506A3C8A-C3D3-416D-951E-934B8B0B92C8}" name="2 hour" dataDxfId="43"/>
    <tableColumn id="8" xr3:uid="{1B650B82-F1F5-4898-B182-942355D10E68}" name="6 hour" dataDxfId="42"/>
    <tableColumn id="9" xr3:uid="{F3E2D681-5E11-45E1-BEE1-501EBE97B3FA}" name="12 hour" dataDxfId="41"/>
    <tableColumn id="10" xr3:uid="{C0719633-88DE-40C2-A8E9-8D5EF81ECA0A}" name="24 hour" dataDxfId="4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2FCC21-40A5-484F-BD8E-58D6761F580C}" name="Table2" displayName="Table2" ref="B72:G79" totalsRowShown="0" headerRowDxfId="39" headerRowBorderDxfId="38" tableBorderDxfId="37" totalsRowBorderDxfId="36">
  <autoFilter ref="B72:G79" xr:uid="{95F192B5-842D-46C3-A0C0-E918101D42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D51134C-E3C4-4C59-9B78-2A17250935B8}" name="Manhole" dataDxfId="35"/>
    <tableColumn id="2" xr3:uid="{7C186C2B-FB57-49B0-8F40-1E9CBB4E6E49}" name="Reduced level of the Manhole (m)" dataDxfId="34"/>
    <tableColumn id="3" xr3:uid="{C3706934-AAB8-4DE4-85F5-78BB4635178F}" name="Upstream Crown Elevation (m)" dataDxfId="33">
      <calculatedColumnFormula>Table2[[#This Row],[Reduced level of the Manhole (m)]]-1</calculatedColumnFormula>
    </tableColumn>
    <tableColumn id="4" xr3:uid="{C5853916-489E-412B-A260-CFB930F7DC07}" name="Upstream Invert Elevation (m)" dataDxfId="32">
      <calculatedColumnFormula>D73-G62</calculatedColumnFormula>
    </tableColumn>
    <tableColumn id="5" xr3:uid="{47D2EBF5-1881-4912-B631-596C95E6185D}" name="Downstream Crown Elevation (m)" dataDxfId="31">
      <calculatedColumnFormula>D73-J62</calculatedColumnFormula>
    </tableColumn>
    <tableColumn id="6" xr3:uid="{D53CF7E1-CB44-4F23-B253-4F049A3436DA}" name="Downstream Invert Elevation (m)" dataDxfId="30">
      <calculatedColumnFormula>F73-G62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58201A-3862-418A-B482-384F0155E96B}" name="Table5" displayName="Table5" ref="B61:J68" headerRowDxfId="29" totalsRowDxfId="26" headerRowBorderDxfId="28" tableBorderDxfId="27">
  <autoFilter ref="B61:J68" xr:uid="{72238F45-9401-4EFE-993E-B035CBD64E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E034F2C-1D44-472A-89F2-8D64877885B1}" name="Pipeline" totalsRowLabel="Total" dataDxfId="25"/>
    <tableColumn id="2" xr3:uid="{D021F40B-3F43-4399-89B0-8E418E366768}" name="Length L(m)" dataDxfId="24"/>
    <tableColumn id="3" xr3:uid="{E93DD7B0-F8AD-4095-8917-AFE68C10C9C5}" name="Slope S" dataDxfId="23"/>
    <tableColumn id="4" xr3:uid="{5144ED45-F50D-496D-8A83-3284A999BDCC}" name="Design Discharge Qp, (m^3/sec)" dataDxfId="22"/>
    <tableColumn id="5" xr3:uid="{237B0936-254C-496E-8E4C-3C4240CC022F}" name="Required Diameter (m)" dataDxfId="21">
      <calculatedColumnFormula>(3.208*0.015*E62/SQRT(D62))^(3/8)</calculatedColumnFormula>
    </tableColumn>
    <tableColumn id="6" xr3:uid="{66C78674-94A2-4BB0-8639-93B29CDAB840}" name="Diameter used (m)" dataDxfId="20"/>
    <tableColumn id="7" xr3:uid="{E8203076-3093-4A61-B63F-327593D4D99D}" name="Flow Velocity V(m/sec)" dataDxfId="19">
      <calculatedColumnFormula>4*E62/(PI()*G62^2)</calculatedColumnFormula>
    </tableColumn>
    <tableColumn id="8" xr3:uid="{D9730D2A-2F3C-488A-B220-F7BA6C83906A}" name="Sewer flow time (min)" dataDxfId="18">
      <calculatedColumnFormula>C62/(H62*60)</calculatedColumnFormula>
    </tableColumn>
    <tableColumn id="9" xr3:uid="{4D566EF4-8585-4014-A7BC-D279402B4731}" name="SL (m)" totalsRowFunction="sum" dataDxfId="17" totalsRowDxfId="16">
      <calculatedColumnFormula>C62*D62</calculatedColumnFormula>
    </tableColumn>
  </tableColumns>
  <tableStyleInfo name="TableStyleLight8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EAF64-3D96-4DD3-B76F-2A068B7259D9}" name="Table1" displayName="Table1" ref="B37:P58" totalsRowShown="0" headerRowDxfId="15" headerRowBorderDxfId="14" headerRowCellStyle="Normal" dataCellStyle="Normal">
  <autoFilter ref="B37:P58" xr:uid="{D8011DC4-63D9-4D51-ACC3-AA402B3895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5A96E08-5229-45EB-9B40-17ECFD92CA83}" name="Sewer" dataDxfId="13" dataCellStyle="Normal"/>
    <tableColumn id="2" xr3:uid="{BB067D20-2D84-4DAC-A01B-33940E6685E5}" name="Contributing Basin/Upstream Sewer" dataCellStyle="Normal"/>
    <tableColumn id="3" xr3:uid="{DE7BC3B8-198D-40E9-9515-6D094619E57A}" name="Area (hectares)" dataCellStyle="Normal"/>
    <tableColumn id="4" xr3:uid="{62B7B9FC-5298-4AC5-9415-F7EEFAC03CBB}" name="Area (km^2)" dataCellStyle="Normal"/>
    <tableColumn id="5" xr3:uid="{79805AF9-FDD6-4403-B628-6A30C4CCEAB3}" name="Type of area" dataCellStyle="Normal"/>
    <tableColumn id="6" xr3:uid="{3B06D69A-4D5E-4004-9442-D975B938182E}" name="Area% (Aj)" dataCellStyle="Normal"/>
    <tableColumn id="7" xr3:uid="{79A099C4-B082-455D-A56A-336FA58F9136}" name="Run-off Coefficient (Cj)" dataCellStyle="Normal"/>
    <tableColumn id="8" xr3:uid="{39BACBF6-5AF8-4A14-887C-15ED40A537DF}" name="Ceq for each basin" dataCellStyle="Normal"/>
    <tableColumn id="9" xr3:uid="{230FE999-D90E-4B66-B42D-3FF5ACA33F05}" name="CjAj" dataCellStyle="Normal"/>
    <tableColumn id="10" xr3:uid="{BC8C0DF4-012C-42BD-A5CA-14CE048C7C70}" name="Sum(CjAj)" dataCellStyle="Normal"/>
    <tableColumn id="11" xr3:uid="{185A2F8B-16A5-468D-9B3D-631F31AC4FC3}" name="Inlet Time (min)" dataCellStyle="Normal"/>
    <tableColumn id="12" xr3:uid="{9386952E-EF68-44B6-BAA2-4FCDD7258A28}" name="Upstream Sewer flow time (min)" dataCellStyle="Normal"/>
    <tableColumn id="13" xr3:uid="{63F637B3-1153-497A-88F3-B5A802105050}" name="Time of concentration (tc)" dataCellStyle="Normal"/>
    <tableColumn id="14" xr3:uid="{C9AF4CE3-97B1-4129-A1A7-8440325ABBF9}" name="Design Rain Duration" dataCellStyle="Normal"/>
    <tableColumn id="15" xr3:uid="{6F84C92E-EC66-44B4-A667-B9A958AD4E31}" name="Design Rain Intensity" dataCellStyle="Normal"/>
  </tableColumns>
  <tableStyleInfo name="TableStyleLight3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56D867-7693-4911-B513-716321936732}" name="Table3" displayName="Table3" ref="B90:J95" totalsRowShown="0" headerRowDxfId="12" headerRowBorderDxfId="11" tableBorderDxfId="10" totalsRowBorderDxfId="9">
  <autoFilter ref="B90:J95" xr:uid="{7BDCE718-1AC7-463A-A5CB-1857FD2555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5BB205D-24C3-42F9-81D3-AD9F73BE0837}" name="Basin" dataDxfId="8"/>
    <tableColumn id="2" xr3:uid="{3585A699-E8E1-4207-9F7F-5BB0E2E0EBAF}" name="CjAj" dataDxfId="7"/>
    <tableColumn id="3" xr3:uid="{F9D2B8CD-32BF-4290-A549-0AB3CC472E7D}" name="Inlet time (min)" dataDxfId="6"/>
    <tableColumn id="4" xr3:uid="{2570E2F6-EDE9-4C26-A67E-FEC634BB66A4}" name="Design Rain Intensity (mm)" dataDxfId="5">
      <calculatedColumnFormula xml:space="preserve"> ($B$30*($B$29^$B$31))/((D91+$B$32)^$B$33)</calculatedColumnFormula>
    </tableColumn>
    <tableColumn id="5" xr3:uid="{D9218A38-B0FC-479E-8C49-FD0DE73F8561}" name="Design Discharge (m^3/s)" dataDxfId="4">
      <calculatedColumnFormula>E91*C91/3.6</calculatedColumnFormula>
    </tableColumn>
    <tableColumn id="6" xr3:uid="{44C501E8-FD2A-472F-A8F7-524784A679F4}" name="Number of inlets " dataDxfId="3"/>
    <tableColumn id="7" xr3:uid="{7FB4E56A-5BFB-4860-A7C0-51013FAEDBFA}" name="Assumed length of Curb Opening (m)" dataDxfId="2"/>
    <tableColumn id="8" xr3:uid="{18F71417-2769-418C-AFE4-7FDF6E12437F}" name="Design discharge of curb opening (m^3/s)" dataDxfId="1">
      <calculatedColumnFormula>((H91*($E$84*$E$85)^0.6)/($E$87*$E$86^0.3))^(1/0.42)</calculatedColumnFormula>
    </tableColumn>
    <tableColumn id="9" xr3:uid="{6FF8C669-D840-44E5-B54A-0D38A9A906FB}" name="Design spread of gutter (m)" dataDxfId="0">
      <calculatedColumnFormula>(F91*$C$84*($C$85^(-5/3))*(($C$86)^(-1/2))/$C$87)^(3/8)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3"/>
  <sheetViews>
    <sheetView topLeftCell="A50" zoomScale="107" zoomScaleNormal="70" workbookViewId="0">
      <selection activeCell="E36" sqref="E36"/>
    </sheetView>
  </sheetViews>
  <sheetFormatPr defaultRowHeight="14.4" x14ac:dyDescent="0.3"/>
  <cols>
    <col min="2" max="2" width="10.44140625" customWidth="1"/>
    <col min="3" max="5" width="11.5546875" customWidth="1"/>
    <col min="9" max="10" width="9.44140625" customWidth="1"/>
  </cols>
  <sheetData>
    <row r="1" spans="1:10" x14ac:dyDescent="0.3">
      <c r="A1" s="75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7" t="s">
        <v>9</v>
      </c>
    </row>
    <row r="2" spans="1:10" x14ac:dyDescent="0.3">
      <c r="A2" s="78">
        <v>1951</v>
      </c>
      <c r="B2" s="53">
        <v>1.74000693599121</v>
      </c>
      <c r="C2" s="53">
        <v>3.1559181479578</v>
      </c>
      <c r="D2" s="53">
        <v>6.0492789165268404</v>
      </c>
      <c r="E2" s="53">
        <v>11.188524489945999</v>
      </c>
      <c r="F2" s="53">
        <v>15.359059650591</v>
      </c>
      <c r="G2" s="53">
        <v>19.3361655430237</v>
      </c>
      <c r="H2" s="53">
        <v>28.863165648272901</v>
      </c>
      <c r="I2" s="53">
        <v>43.310879981425302</v>
      </c>
      <c r="J2" s="71">
        <v>70.634659238347297</v>
      </c>
    </row>
    <row r="3" spans="1:10" x14ac:dyDescent="0.3">
      <c r="A3" s="78">
        <v>1952</v>
      </c>
      <c r="B3" s="53">
        <v>2.4360343891969798</v>
      </c>
      <c r="C3" s="53">
        <v>3.75162697553559</v>
      </c>
      <c r="D3" s="53">
        <v>5.6392517149722501</v>
      </c>
      <c r="E3" s="53">
        <v>11.3380726323985</v>
      </c>
      <c r="F3" s="53">
        <v>13.5133076442742</v>
      </c>
      <c r="G3" s="53">
        <v>17.7043955787451</v>
      </c>
      <c r="H3" s="53">
        <v>37.777551597294902</v>
      </c>
      <c r="I3" s="53">
        <v>40.755528679655498</v>
      </c>
      <c r="J3" s="71">
        <v>63.674269142756302</v>
      </c>
    </row>
    <row r="4" spans="1:10" x14ac:dyDescent="0.3">
      <c r="A4" s="78">
        <v>1953</v>
      </c>
      <c r="B4" s="53">
        <v>1.99545571988165</v>
      </c>
      <c r="C4" s="53">
        <v>3.6070170423530801</v>
      </c>
      <c r="D4" s="53">
        <v>5.9869923327382102</v>
      </c>
      <c r="E4" s="53">
        <v>11.912107650380401</v>
      </c>
      <c r="F4" s="53">
        <v>15.434792754438099</v>
      </c>
      <c r="G4" s="53">
        <v>18.9473560144</v>
      </c>
      <c r="H4" s="53">
        <v>32.898740995138098</v>
      </c>
      <c r="I4" s="53">
        <v>41.722987296485599</v>
      </c>
      <c r="J4" s="71">
        <v>59.6546205178498</v>
      </c>
    </row>
    <row r="5" spans="1:10" x14ac:dyDescent="0.3">
      <c r="A5" s="78">
        <v>1954</v>
      </c>
      <c r="B5" s="53">
        <v>2.0233203017841102</v>
      </c>
      <c r="C5" s="53">
        <v>3.4468615897553398</v>
      </c>
      <c r="D5" s="53">
        <v>5.8536740991216103</v>
      </c>
      <c r="E5" s="53">
        <v>12.566732588510201</v>
      </c>
      <c r="F5" s="53">
        <v>15.3961012104205</v>
      </c>
      <c r="G5" s="53">
        <v>16.316507302057101</v>
      </c>
      <c r="H5" s="53">
        <v>33.5457394282043</v>
      </c>
      <c r="I5" s="53">
        <v>43.454710158281401</v>
      </c>
      <c r="J5" s="71">
        <v>54.0280998342324</v>
      </c>
    </row>
    <row r="6" spans="1:10" x14ac:dyDescent="0.3">
      <c r="A6" s="78">
        <v>1955</v>
      </c>
      <c r="B6" s="53">
        <v>1.8613571499851</v>
      </c>
      <c r="C6" s="53">
        <v>3.9200771302152502</v>
      </c>
      <c r="D6" s="53">
        <v>6.1537962355118703</v>
      </c>
      <c r="E6" s="53">
        <v>11.359957563406599</v>
      </c>
      <c r="F6" s="53">
        <v>13.2650799627314</v>
      </c>
      <c r="G6" s="53">
        <v>18.166188969036298</v>
      </c>
      <c r="H6" s="53">
        <v>32.4009439534073</v>
      </c>
      <c r="I6" s="53">
        <v>48.458211608351803</v>
      </c>
      <c r="J6" s="71">
        <v>60.035797403123603</v>
      </c>
    </row>
    <row r="7" spans="1:10" x14ac:dyDescent="0.3">
      <c r="A7" s="78">
        <v>1956</v>
      </c>
      <c r="B7" s="53">
        <v>2.3432889753794801</v>
      </c>
      <c r="C7" s="53">
        <v>4.1371279389425997</v>
      </c>
      <c r="D7" s="53">
        <v>7.03953899502027</v>
      </c>
      <c r="E7" s="53">
        <v>11.3637250799549</v>
      </c>
      <c r="F7" s="53">
        <v>14.136553350745</v>
      </c>
      <c r="G7" s="53">
        <v>21.9238231385219</v>
      </c>
      <c r="H7" s="53">
        <v>32.485048229122398</v>
      </c>
      <c r="I7" s="53">
        <v>39.806931838184603</v>
      </c>
      <c r="J7" s="71">
        <v>54.091746507636302</v>
      </c>
    </row>
    <row r="8" spans="1:10" x14ac:dyDescent="0.3">
      <c r="A8" s="78">
        <v>1957</v>
      </c>
      <c r="B8" s="53">
        <v>1.6973211282291101</v>
      </c>
      <c r="C8" s="53">
        <v>2.9821143377443202</v>
      </c>
      <c r="D8" s="53">
        <v>5.9076714817282197</v>
      </c>
      <c r="E8" s="53">
        <v>13.524530335105201</v>
      </c>
      <c r="F8" s="53">
        <v>14.128761539432301</v>
      </c>
      <c r="G8" s="53">
        <v>21.5524155010099</v>
      </c>
      <c r="H8" s="53">
        <v>32.846113067855697</v>
      </c>
      <c r="I8" s="53">
        <v>53.268350654030201</v>
      </c>
      <c r="J8" s="71">
        <v>62.991102242347097</v>
      </c>
    </row>
    <row r="9" spans="1:10" x14ac:dyDescent="0.3">
      <c r="A9" s="78">
        <v>1958</v>
      </c>
      <c r="B9" s="53">
        <v>2.1708122815596198</v>
      </c>
      <c r="C9" s="53">
        <v>3.2133768979232502</v>
      </c>
      <c r="D9" s="53">
        <v>5.6588472298944499</v>
      </c>
      <c r="E9" s="53">
        <v>11.6857182257743</v>
      </c>
      <c r="F9" s="53">
        <v>13.135278423211799</v>
      </c>
      <c r="G9" s="53">
        <v>19.183752147012001</v>
      </c>
      <c r="H9" s="53">
        <v>34.983111095132898</v>
      </c>
      <c r="I9" s="53">
        <v>45.362530448339101</v>
      </c>
      <c r="J9" s="71">
        <v>66.611365643255994</v>
      </c>
    </row>
    <row r="10" spans="1:10" x14ac:dyDescent="0.3">
      <c r="A10" s="78">
        <v>1959</v>
      </c>
      <c r="B10" s="53">
        <v>2.0834065378294402</v>
      </c>
      <c r="C10" s="53">
        <v>3.71069253095725</v>
      </c>
      <c r="D10" s="53">
        <v>5.7996437807189203</v>
      </c>
      <c r="E10" s="53">
        <v>12.252253711992701</v>
      </c>
      <c r="F10" s="53">
        <v>10.3929069923293</v>
      </c>
      <c r="G10" s="53">
        <v>22.9698279888588</v>
      </c>
      <c r="H10" s="53">
        <v>26.280925682232699</v>
      </c>
      <c r="I10" s="53">
        <v>39.295734540367498</v>
      </c>
      <c r="J10" s="71">
        <v>59.090861228189603</v>
      </c>
    </row>
    <row r="11" spans="1:10" x14ac:dyDescent="0.3">
      <c r="A11" s="78">
        <v>1960</v>
      </c>
      <c r="B11" s="53">
        <v>2.1496027756404201</v>
      </c>
      <c r="C11" s="53">
        <v>3.3714543506883698</v>
      </c>
      <c r="D11" s="53">
        <v>6.2990804962834899</v>
      </c>
      <c r="E11" s="53">
        <v>13.000918338344899</v>
      </c>
      <c r="F11" s="53">
        <v>13.739505637851099</v>
      </c>
      <c r="G11" s="53">
        <v>22.1417648801214</v>
      </c>
      <c r="H11" s="53">
        <v>29.0701342847909</v>
      </c>
      <c r="I11" s="53">
        <v>52.7774816557828</v>
      </c>
      <c r="J11" s="71">
        <v>49.970017048669597</v>
      </c>
    </row>
    <row r="12" spans="1:10" x14ac:dyDescent="0.3">
      <c r="A12" s="78">
        <v>1961</v>
      </c>
      <c r="B12" s="53">
        <v>1.9437745196643099</v>
      </c>
      <c r="C12" s="53">
        <v>3.7160162873203699</v>
      </c>
      <c r="D12" s="53">
        <v>5.9665011166300204</v>
      </c>
      <c r="E12" s="53">
        <v>13.6778299651853</v>
      </c>
      <c r="F12" s="53">
        <v>13.431797173269</v>
      </c>
      <c r="G12" s="53">
        <v>21.411016838242301</v>
      </c>
      <c r="H12" s="53">
        <v>33.911174580366797</v>
      </c>
      <c r="I12" s="53">
        <v>53.212208888987298</v>
      </c>
      <c r="J12" s="71">
        <v>60.277911593894203</v>
      </c>
    </row>
    <row r="13" spans="1:10" x14ac:dyDescent="0.3">
      <c r="A13" s="78">
        <v>1962</v>
      </c>
      <c r="B13" s="53">
        <v>1.9949734631974501</v>
      </c>
      <c r="C13" s="53">
        <v>3.34829406239907</v>
      </c>
      <c r="D13" s="53">
        <v>7.2242853340464697</v>
      </c>
      <c r="E13" s="53">
        <v>11.2980200606124</v>
      </c>
      <c r="F13" s="53">
        <v>15.434946496004001</v>
      </c>
      <c r="G13" s="53">
        <v>17.709953416024</v>
      </c>
      <c r="H13" s="53">
        <v>24.0094007365511</v>
      </c>
      <c r="I13" s="53">
        <v>49.878744317510197</v>
      </c>
      <c r="J13" s="71">
        <v>72.894191562565894</v>
      </c>
    </row>
    <row r="14" spans="1:10" x14ac:dyDescent="0.3">
      <c r="A14" s="78">
        <v>1963</v>
      </c>
      <c r="B14" s="53">
        <v>1.8011804918145899</v>
      </c>
      <c r="C14" s="53">
        <v>3.94071985435632</v>
      </c>
      <c r="D14" s="53">
        <v>7.3181837589084298</v>
      </c>
      <c r="E14" s="53">
        <v>14.9610554482264</v>
      </c>
      <c r="F14" s="53">
        <v>14.8361132517154</v>
      </c>
      <c r="G14" s="53">
        <v>17.322742202275201</v>
      </c>
      <c r="H14" s="53">
        <v>29.270387398915702</v>
      </c>
      <c r="I14" s="53">
        <v>48.6395613648913</v>
      </c>
      <c r="J14" s="71">
        <v>56.8512669427543</v>
      </c>
    </row>
    <row r="15" spans="1:10" x14ac:dyDescent="0.3">
      <c r="A15" s="78">
        <v>1964</v>
      </c>
      <c r="B15" s="53">
        <v>2.1897189128284</v>
      </c>
      <c r="C15" s="53">
        <v>3.8359233790742699</v>
      </c>
      <c r="D15" s="53">
        <v>7.4587046327377697</v>
      </c>
      <c r="E15" s="53">
        <v>11.041862386884601</v>
      </c>
      <c r="F15" s="53">
        <v>12.1050941927667</v>
      </c>
      <c r="G15" s="53">
        <v>20.107972011905801</v>
      </c>
      <c r="H15" s="53">
        <v>32.804214411665903</v>
      </c>
      <c r="I15" s="53">
        <v>54.415162433831902</v>
      </c>
      <c r="J15" s="71">
        <v>67.4022869440101</v>
      </c>
    </row>
    <row r="16" spans="1:10" x14ac:dyDescent="0.3">
      <c r="A16" s="78">
        <v>1965</v>
      </c>
      <c r="B16" s="53">
        <v>2.0020760476057098</v>
      </c>
      <c r="C16" s="53">
        <v>3.4391900153452402</v>
      </c>
      <c r="D16" s="53">
        <v>6.1210384002356903</v>
      </c>
      <c r="E16" s="53">
        <v>12.957385574481799</v>
      </c>
      <c r="F16" s="53">
        <v>12.5336310173894</v>
      </c>
      <c r="G16" s="53">
        <v>17.7952289891298</v>
      </c>
      <c r="H16" s="53">
        <v>33.002619663172197</v>
      </c>
      <c r="I16" s="53">
        <v>47.500734835655798</v>
      </c>
      <c r="J16" s="71">
        <v>54.549425364702003</v>
      </c>
    </row>
    <row r="17" spans="1:10" x14ac:dyDescent="0.3">
      <c r="A17" s="78">
        <v>1966</v>
      </c>
      <c r="B17" s="53">
        <v>2.29460216866776</v>
      </c>
      <c r="C17" s="53">
        <v>3.7145366417656498</v>
      </c>
      <c r="D17" s="53">
        <v>6.2179577168906297</v>
      </c>
      <c r="E17" s="53">
        <v>11.781387889908199</v>
      </c>
      <c r="F17" s="53">
        <v>16.6477308529821</v>
      </c>
      <c r="G17" s="53">
        <v>22.951601277360201</v>
      </c>
      <c r="H17" s="53">
        <v>26.7304553334518</v>
      </c>
      <c r="I17" s="53">
        <v>45.117747290026998</v>
      </c>
      <c r="J17" s="71">
        <v>59.8021868564676</v>
      </c>
    </row>
    <row r="18" spans="1:10" x14ac:dyDescent="0.3">
      <c r="A18" s="78">
        <v>1967</v>
      </c>
      <c r="B18" s="53">
        <v>2.15609686626911</v>
      </c>
      <c r="C18" s="53">
        <v>3.4326868100252201</v>
      </c>
      <c r="D18" s="53">
        <v>5.73262578368319</v>
      </c>
      <c r="E18" s="53">
        <v>10.6987774207772</v>
      </c>
      <c r="F18" s="53">
        <v>12.8184840869504</v>
      </c>
      <c r="G18" s="53">
        <v>20.170434504087499</v>
      </c>
      <c r="H18" s="53">
        <v>32.038704781005201</v>
      </c>
      <c r="I18" s="53">
        <v>38.7093332375374</v>
      </c>
      <c r="J18" s="71">
        <v>57.500695210328303</v>
      </c>
    </row>
    <row r="19" spans="1:10" x14ac:dyDescent="0.3">
      <c r="A19" s="78">
        <v>1968</v>
      </c>
      <c r="B19" s="53">
        <v>2.1757552463510601</v>
      </c>
      <c r="C19" s="53">
        <v>3.4194075966363799</v>
      </c>
      <c r="D19" s="53">
        <v>6.24220283288739</v>
      </c>
      <c r="E19" s="53">
        <v>10.7583100013088</v>
      </c>
      <c r="F19" s="53">
        <v>13.685094590310801</v>
      </c>
      <c r="G19" s="53">
        <v>18.504105866481101</v>
      </c>
      <c r="H19" s="53">
        <v>28.147568337671</v>
      </c>
      <c r="I19" s="53">
        <v>49.783938856342701</v>
      </c>
      <c r="J19" s="71">
        <v>58.139377127591302</v>
      </c>
    </row>
    <row r="20" spans="1:10" x14ac:dyDescent="0.3">
      <c r="A20" s="78">
        <v>1969</v>
      </c>
      <c r="B20" s="53">
        <v>1.94631535837273</v>
      </c>
      <c r="C20" s="53">
        <v>3.7715365535441499</v>
      </c>
      <c r="D20" s="53">
        <v>5.9123138854303301</v>
      </c>
      <c r="E20" s="53">
        <v>12.368958267322601</v>
      </c>
      <c r="F20" s="53">
        <v>13.559282249805999</v>
      </c>
      <c r="G20" s="53">
        <v>20.024721277663499</v>
      </c>
      <c r="H20" s="53">
        <v>27.7141235380073</v>
      </c>
      <c r="I20" s="53">
        <v>42.251499949543899</v>
      </c>
      <c r="J20" s="71">
        <v>60.883616353419796</v>
      </c>
    </row>
    <row r="21" spans="1:10" x14ac:dyDescent="0.3">
      <c r="A21" s="78">
        <v>1970</v>
      </c>
      <c r="B21" s="53">
        <v>2.1134134761411398</v>
      </c>
      <c r="C21" s="53">
        <v>3.4935327173002002</v>
      </c>
      <c r="D21" s="53">
        <v>5.9312555957355997</v>
      </c>
      <c r="E21" s="53">
        <v>12.985928314869</v>
      </c>
      <c r="F21" s="53">
        <v>15.768883592625301</v>
      </c>
      <c r="G21" s="53">
        <v>18.643802308728599</v>
      </c>
      <c r="H21" s="53">
        <v>28.546355641041298</v>
      </c>
      <c r="I21" s="53">
        <v>42.132269669471697</v>
      </c>
      <c r="J21" s="71">
        <v>61.015799883517097</v>
      </c>
    </row>
    <row r="22" spans="1:10" x14ac:dyDescent="0.3">
      <c r="A22" s="78">
        <v>1971</v>
      </c>
      <c r="B22" s="53">
        <v>2.0775191639683599</v>
      </c>
      <c r="C22" s="53">
        <v>2.6438071874968001</v>
      </c>
      <c r="D22" s="53">
        <v>5.3975585389241001</v>
      </c>
      <c r="E22" s="53">
        <v>13.283055203659799</v>
      </c>
      <c r="F22" s="53">
        <v>13.4274277961861</v>
      </c>
      <c r="G22" s="53">
        <v>21.984565174236199</v>
      </c>
      <c r="H22" s="53">
        <v>27.417197149232301</v>
      </c>
      <c r="I22" s="53">
        <v>36.962335621507997</v>
      </c>
      <c r="J22" s="71">
        <v>68.679210587990298</v>
      </c>
    </row>
    <row r="23" spans="1:10" x14ac:dyDescent="0.3">
      <c r="A23" s="78">
        <v>1972</v>
      </c>
      <c r="B23" s="53">
        <v>2.0364984492665599</v>
      </c>
      <c r="C23" s="53">
        <v>3.56761422337041</v>
      </c>
      <c r="D23" s="53">
        <v>6.3845877516867704</v>
      </c>
      <c r="E23" s="53">
        <v>9.5171961086434802</v>
      </c>
      <c r="F23" s="53">
        <v>13.3616818192703</v>
      </c>
      <c r="G23" s="53">
        <v>18.065851635022099</v>
      </c>
      <c r="H23" s="53">
        <v>27.629853910433699</v>
      </c>
      <c r="I23" s="53">
        <v>49.770096979574397</v>
      </c>
      <c r="J23" s="71">
        <v>63.579064996158102</v>
      </c>
    </row>
    <row r="24" spans="1:10" x14ac:dyDescent="0.3">
      <c r="A24" s="78">
        <v>1973</v>
      </c>
      <c r="B24" s="53">
        <v>1.8048044016410301</v>
      </c>
      <c r="C24" s="53">
        <v>3.3775685635381199</v>
      </c>
      <c r="D24" s="53">
        <v>6.9968475740583997</v>
      </c>
      <c r="E24" s="53">
        <v>11.837254020182799</v>
      </c>
      <c r="F24" s="53">
        <v>14.832843735584801</v>
      </c>
      <c r="G24" s="53">
        <v>19.654754610402701</v>
      </c>
      <c r="H24" s="53">
        <v>32.175160907045601</v>
      </c>
      <c r="I24" s="53">
        <v>44.727336040213999</v>
      </c>
      <c r="J24" s="71">
        <v>66.4666288184699</v>
      </c>
    </row>
    <row r="25" spans="1:10" x14ac:dyDescent="0.3">
      <c r="A25" s="78">
        <v>1974</v>
      </c>
      <c r="B25" s="53">
        <v>1.7053756820556201</v>
      </c>
      <c r="C25" s="53">
        <v>3.3711055969572299</v>
      </c>
      <c r="D25" s="53">
        <v>5.5983876702014497</v>
      </c>
      <c r="E25" s="53">
        <v>12.014114639050099</v>
      </c>
      <c r="F25" s="53">
        <v>15.025594182258001</v>
      </c>
      <c r="G25" s="53">
        <v>21.256484883285601</v>
      </c>
      <c r="H25" s="53">
        <v>34.576947876904299</v>
      </c>
      <c r="I25" s="53">
        <v>45.942356345193197</v>
      </c>
      <c r="J25" s="71">
        <v>64.499990258012701</v>
      </c>
    </row>
    <row r="26" spans="1:10" x14ac:dyDescent="0.3">
      <c r="A26" s="78">
        <v>1975</v>
      </c>
      <c r="B26" s="53">
        <v>1.98009531491424</v>
      </c>
      <c r="C26" s="53">
        <v>2.8914284823616101</v>
      </c>
      <c r="D26" s="53">
        <v>5.8575262365496696</v>
      </c>
      <c r="E26" s="53">
        <v>13.0806858457491</v>
      </c>
      <c r="F26" s="53">
        <v>11.5740511283743</v>
      </c>
      <c r="G26" s="53">
        <v>19.113241162285</v>
      </c>
      <c r="H26" s="53">
        <v>34.341407981568302</v>
      </c>
      <c r="I26" s="53">
        <v>46.9593113626714</v>
      </c>
      <c r="J26" s="71">
        <v>65.296308074381002</v>
      </c>
    </row>
    <row r="27" spans="1:10" x14ac:dyDescent="0.3">
      <c r="A27" s="78">
        <v>1976</v>
      </c>
      <c r="B27" s="53">
        <v>1.8185225281217601</v>
      </c>
      <c r="C27" s="53">
        <v>3.3340074767269399</v>
      </c>
      <c r="D27" s="53">
        <v>5.6247023703662604</v>
      </c>
      <c r="E27" s="53">
        <v>11.635017806338499</v>
      </c>
      <c r="F27" s="53">
        <v>14.105352325821199</v>
      </c>
      <c r="G27" s="53">
        <v>20.448731714348501</v>
      </c>
      <c r="H27" s="53">
        <v>28.901385207946099</v>
      </c>
      <c r="I27" s="53">
        <v>41.593244107448101</v>
      </c>
      <c r="J27" s="71">
        <v>54.966830915636201</v>
      </c>
    </row>
    <row r="28" spans="1:10" x14ac:dyDescent="0.3">
      <c r="A28" s="78">
        <v>1977</v>
      </c>
      <c r="B28" s="53">
        <v>1.67856330319108</v>
      </c>
      <c r="C28" s="53">
        <v>3.7798057137816601</v>
      </c>
      <c r="D28" s="53">
        <v>6.5899343930729701</v>
      </c>
      <c r="E28" s="53">
        <v>13.3125721122122</v>
      </c>
      <c r="F28" s="53">
        <v>15.806346074271801</v>
      </c>
      <c r="G28" s="53">
        <v>20.000196330751699</v>
      </c>
      <c r="H28" s="53">
        <v>29.364781570103901</v>
      </c>
      <c r="I28" s="53">
        <v>38.472817283439902</v>
      </c>
      <c r="J28" s="71">
        <v>53.944046389544702</v>
      </c>
    </row>
    <row r="29" spans="1:10" x14ac:dyDescent="0.3">
      <c r="A29" s="78">
        <v>1978</v>
      </c>
      <c r="B29" s="53">
        <v>1.8463268224742899</v>
      </c>
      <c r="C29" s="53">
        <v>3.3848021788482598</v>
      </c>
      <c r="D29" s="53">
        <v>6.5308313637146496</v>
      </c>
      <c r="E29" s="53">
        <v>11.6672458750787</v>
      </c>
      <c r="F29" s="53">
        <v>13.0688012076997</v>
      </c>
      <c r="G29" s="53">
        <v>19.450645352896501</v>
      </c>
      <c r="H29" s="53">
        <v>34.0195676482791</v>
      </c>
      <c r="I29" s="53">
        <v>49.7117686192043</v>
      </c>
      <c r="J29" s="71">
        <v>64.299216472852507</v>
      </c>
    </row>
    <row r="30" spans="1:10" x14ac:dyDescent="0.3">
      <c r="A30" s="78">
        <v>1979</v>
      </c>
      <c r="B30" s="53">
        <v>2.15581802770458</v>
      </c>
      <c r="C30" s="53">
        <v>3.59035466364536</v>
      </c>
      <c r="D30" s="53">
        <v>6.1117997443089198</v>
      </c>
      <c r="E30" s="53">
        <v>12.300271687727999</v>
      </c>
      <c r="F30" s="53">
        <v>13.013426915198201</v>
      </c>
      <c r="G30" s="53">
        <v>17.9416220088955</v>
      </c>
      <c r="H30" s="53">
        <v>29.6467892152084</v>
      </c>
      <c r="I30" s="53">
        <v>42.490451741445398</v>
      </c>
      <c r="J30" s="71">
        <v>55.779014555054403</v>
      </c>
    </row>
    <row r="31" spans="1:10" x14ac:dyDescent="0.3">
      <c r="A31" s="78">
        <v>1980</v>
      </c>
      <c r="B31" s="53">
        <v>1.6428353844155299</v>
      </c>
      <c r="C31" s="53">
        <v>4.1863268452207496</v>
      </c>
      <c r="D31" s="53">
        <v>5.14400381869177</v>
      </c>
      <c r="E31" s="53">
        <v>11.3260210431694</v>
      </c>
      <c r="F31" s="53">
        <v>13.7621627343337</v>
      </c>
      <c r="G31" s="53">
        <v>15.529038625388599</v>
      </c>
      <c r="H31" s="53">
        <v>28.376207361910001</v>
      </c>
      <c r="I31" s="53">
        <v>38.7794185787385</v>
      </c>
      <c r="J31" s="71">
        <v>55.665953503827097</v>
      </c>
    </row>
    <row r="32" spans="1:10" x14ac:dyDescent="0.3">
      <c r="A32" s="78">
        <v>1981</v>
      </c>
      <c r="B32" s="53">
        <v>1.7707943580043499</v>
      </c>
      <c r="C32" s="53">
        <v>3.2369964848875701</v>
      </c>
      <c r="D32" s="53">
        <v>6.5247305272646701</v>
      </c>
      <c r="E32" s="53">
        <v>11.622031836906499</v>
      </c>
      <c r="F32" s="53">
        <v>12.800594550719801</v>
      </c>
      <c r="G32" s="53">
        <v>19.200047478874598</v>
      </c>
      <c r="H32" s="53">
        <v>28.563620864674199</v>
      </c>
      <c r="I32" s="53">
        <v>45.9858787851146</v>
      </c>
      <c r="J32" s="71">
        <v>59.322106987346899</v>
      </c>
    </row>
    <row r="33" spans="1:10" x14ac:dyDescent="0.3">
      <c r="A33" s="78">
        <v>1982</v>
      </c>
      <c r="B33" s="53">
        <v>2.2996180619589501</v>
      </c>
      <c r="C33" s="53">
        <v>3.2775176373691801</v>
      </c>
      <c r="D33" s="53">
        <v>5.3174910083968596</v>
      </c>
      <c r="E33" s="53">
        <v>10.967154826452999</v>
      </c>
      <c r="F33" s="53">
        <v>17.121310103692601</v>
      </c>
      <c r="G33" s="53">
        <v>19.455323135955702</v>
      </c>
      <c r="H33" s="53">
        <v>29.713337808750602</v>
      </c>
      <c r="I33" s="53">
        <v>53.055438251475401</v>
      </c>
      <c r="J33" s="71">
        <v>58.920009720894903</v>
      </c>
    </row>
    <row r="34" spans="1:10" x14ac:dyDescent="0.3">
      <c r="A34" s="78">
        <v>1983</v>
      </c>
      <c r="B34" s="53">
        <v>2.2514944684874498</v>
      </c>
      <c r="C34" s="53">
        <v>3.5745420404963402</v>
      </c>
      <c r="D34" s="53">
        <v>7.1491291608963099</v>
      </c>
      <c r="E34" s="53">
        <v>14.386681772142101</v>
      </c>
      <c r="F34" s="53">
        <v>13.7183930924247</v>
      </c>
      <c r="G34" s="53">
        <v>17.693375911609898</v>
      </c>
      <c r="H34" s="53">
        <v>34.817867697369998</v>
      </c>
      <c r="I34" s="53">
        <v>50.490625812752903</v>
      </c>
      <c r="J34" s="71">
        <v>49.282785542673203</v>
      </c>
    </row>
    <row r="35" spans="1:10" x14ac:dyDescent="0.3">
      <c r="A35" s="78">
        <v>1984</v>
      </c>
      <c r="B35" s="53">
        <v>2.3267988328881</v>
      </c>
      <c r="C35" s="53">
        <v>3.6239964559881201</v>
      </c>
      <c r="D35" s="53">
        <v>5.5445215100715801</v>
      </c>
      <c r="E35" s="53">
        <v>10.4485795792319</v>
      </c>
      <c r="F35" s="53">
        <v>15.327896124104599</v>
      </c>
      <c r="G35" s="53">
        <v>20.751061958202001</v>
      </c>
      <c r="H35" s="53">
        <v>25.953961488307499</v>
      </c>
      <c r="I35" s="53">
        <v>48.388259402018399</v>
      </c>
      <c r="J35" s="71">
        <v>72.102064230168395</v>
      </c>
    </row>
    <row r="36" spans="1:10" x14ac:dyDescent="0.3">
      <c r="A36" s="78">
        <v>1985</v>
      </c>
      <c r="B36" s="53">
        <v>1.8833022654709599</v>
      </c>
      <c r="C36" s="53">
        <v>3.2853039509107398</v>
      </c>
      <c r="D36" s="53">
        <v>5.9513668899652599</v>
      </c>
      <c r="E36" s="53">
        <v>12.5495264409229</v>
      </c>
      <c r="F36" s="53">
        <v>12.270052830879701</v>
      </c>
      <c r="G36" s="53">
        <v>19.422037824121201</v>
      </c>
      <c r="H36" s="53">
        <v>35.645127532536797</v>
      </c>
      <c r="I36" s="53">
        <v>38.451838493504397</v>
      </c>
      <c r="J36" s="71">
        <v>64.860664381237996</v>
      </c>
    </row>
    <row r="37" spans="1:10" x14ac:dyDescent="0.3">
      <c r="A37" s="78">
        <v>1986</v>
      </c>
      <c r="B37" s="53">
        <v>2.4019457451615698</v>
      </c>
      <c r="C37" s="53">
        <v>3.4567670130095598</v>
      </c>
      <c r="D37" s="53">
        <v>5.3307219143120701</v>
      </c>
      <c r="E37" s="53">
        <v>11.5030633271934</v>
      </c>
      <c r="F37" s="53">
        <v>14.0620570936939</v>
      </c>
      <c r="G37" s="53">
        <v>21.116612879332902</v>
      </c>
      <c r="H37" s="53">
        <v>27.726113197090498</v>
      </c>
      <c r="I37" s="53">
        <v>41.813560273094303</v>
      </c>
      <c r="J37" s="71">
        <v>63.634990010969098</v>
      </c>
    </row>
    <row r="38" spans="1:10" x14ac:dyDescent="0.3">
      <c r="A38" s="78">
        <v>1987</v>
      </c>
      <c r="B38" s="53">
        <v>1.88765633193768</v>
      </c>
      <c r="C38" s="53">
        <v>4.22836751639458</v>
      </c>
      <c r="D38" s="53">
        <v>6.4020702594783598</v>
      </c>
      <c r="E38" s="53">
        <v>11.017404351539801</v>
      </c>
      <c r="F38" s="53">
        <v>14.3642977475584</v>
      </c>
      <c r="G38" s="53">
        <v>20.7670519553599</v>
      </c>
      <c r="H38" s="53">
        <v>28.7734659363276</v>
      </c>
      <c r="I38" s="53">
        <v>47.139083033292302</v>
      </c>
      <c r="J38" s="71">
        <v>69.406336318973004</v>
      </c>
    </row>
    <row r="39" spans="1:10" x14ac:dyDescent="0.3">
      <c r="A39" s="78">
        <v>1988</v>
      </c>
      <c r="B39" s="53">
        <v>2.0286893249909599</v>
      </c>
      <c r="C39" s="53">
        <v>4.1425484844535898</v>
      </c>
      <c r="D39" s="53">
        <v>6.2244062125944897</v>
      </c>
      <c r="E39" s="53">
        <v>11.355371541184301</v>
      </c>
      <c r="F39" s="53">
        <v>15.7823567106279</v>
      </c>
      <c r="G39" s="53">
        <v>18.459989820932599</v>
      </c>
      <c r="H39" s="53">
        <v>32.496384675321899</v>
      </c>
      <c r="I39" s="53">
        <v>47.4641612177032</v>
      </c>
      <c r="J39" s="71">
        <v>53.904296873825402</v>
      </c>
    </row>
    <row r="40" spans="1:10" x14ac:dyDescent="0.3">
      <c r="A40" s="78">
        <v>1989</v>
      </c>
      <c r="B40" s="53">
        <v>2.0192595795151198</v>
      </c>
      <c r="C40" s="53">
        <v>3.2765221754642</v>
      </c>
      <c r="D40" s="53">
        <v>6.3939166393495004</v>
      </c>
      <c r="E40" s="53">
        <v>12.533989079835999</v>
      </c>
      <c r="F40" s="53">
        <v>14.3529854379527</v>
      </c>
      <c r="G40" s="53">
        <v>19.645265369094499</v>
      </c>
      <c r="H40" s="53">
        <v>35.349616029735401</v>
      </c>
      <c r="I40" s="53">
        <v>37.815701123843198</v>
      </c>
      <c r="J40" s="71">
        <v>50.298016714873803</v>
      </c>
    </row>
    <row r="41" spans="1:10" x14ac:dyDescent="0.3">
      <c r="A41" s="78">
        <v>1990</v>
      </c>
      <c r="B41" s="53">
        <v>1.90082040943203</v>
      </c>
      <c r="C41" s="53">
        <v>2.7210305888110899</v>
      </c>
      <c r="D41" s="53">
        <v>6.2480070778607297</v>
      </c>
      <c r="E41" s="53">
        <v>13.639624729183399</v>
      </c>
      <c r="F41" s="53">
        <v>14.552966651395099</v>
      </c>
      <c r="G41" s="53">
        <v>19.657091073048498</v>
      </c>
      <c r="H41" s="53">
        <v>26.803823917869</v>
      </c>
      <c r="I41" s="53">
        <v>45.626532406206998</v>
      </c>
      <c r="J41" s="71">
        <v>55.550343341088698</v>
      </c>
    </row>
    <row r="42" spans="1:10" x14ac:dyDescent="0.3">
      <c r="A42" s="78">
        <v>1991</v>
      </c>
      <c r="B42" s="53">
        <v>2.14890861328352</v>
      </c>
      <c r="C42" s="53">
        <v>3.8972524567762199</v>
      </c>
      <c r="D42" s="53">
        <v>5.5960167534385103</v>
      </c>
      <c r="E42" s="53">
        <v>10.965046000794599</v>
      </c>
      <c r="F42" s="53">
        <v>13.215736409969599</v>
      </c>
      <c r="G42" s="53">
        <v>21.584765243945501</v>
      </c>
      <c r="H42" s="53">
        <v>35.589029754493602</v>
      </c>
      <c r="I42" s="53">
        <v>57.555476313979497</v>
      </c>
      <c r="J42" s="71">
        <v>72.991569825834006</v>
      </c>
    </row>
    <row r="43" spans="1:10" x14ac:dyDescent="0.3">
      <c r="A43" s="78">
        <v>1992</v>
      </c>
      <c r="B43" s="53">
        <v>1.99923966135617</v>
      </c>
      <c r="C43" s="53">
        <v>3.2603095979960499</v>
      </c>
      <c r="D43" s="53">
        <v>5.5830704712522703</v>
      </c>
      <c r="E43" s="53">
        <v>11.0693454349378</v>
      </c>
      <c r="F43" s="53">
        <v>13.2389032283922</v>
      </c>
      <c r="G43" s="53">
        <v>20.101426542739599</v>
      </c>
      <c r="H43" s="53">
        <v>29.038922255427401</v>
      </c>
      <c r="I43" s="53">
        <v>43.660563183932901</v>
      </c>
      <c r="J43" s="71">
        <v>54.991430346918598</v>
      </c>
    </row>
    <row r="44" spans="1:10" x14ac:dyDescent="0.3">
      <c r="A44" s="78">
        <v>1993</v>
      </c>
      <c r="B44" s="53">
        <v>1.7700290896094599</v>
      </c>
      <c r="C44" s="53">
        <v>3.5327019102347599</v>
      </c>
      <c r="D44" s="53">
        <v>5.4734937675051301</v>
      </c>
      <c r="E44" s="53">
        <v>11.639878038858299</v>
      </c>
      <c r="F44" s="53">
        <v>9.9390728644441495</v>
      </c>
      <c r="G44" s="53">
        <v>20.623866661035599</v>
      </c>
      <c r="H44" s="53">
        <v>32.2352627234335</v>
      </c>
      <c r="I44" s="53">
        <v>44.413764584680699</v>
      </c>
      <c r="J44" s="71">
        <v>59.831140167814198</v>
      </c>
    </row>
    <row r="45" spans="1:10" x14ac:dyDescent="0.3">
      <c r="A45" s="78">
        <v>1994</v>
      </c>
      <c r="B45" s="53">
        <v>2.1389468900956699</v>
      </c>
      <c r="C45" s="53">
        <v>3.6228289524022599</v>
      </c>
      <c r="D45" s="53">
        <v>5.9553127734416398</v>
      </c>
      <c r="E45" s="53">
        <v>10.720882326669701</v>
      </c>
      <c r="F45" s="53">
        <v>14.294135735706099</v>
      </c>
      <c r="G45" s="53">
        <v>17.2694554239288</v>
      </c>
      <c r="H45" s="53">
        <v>33.383431650032001</v>
      </c>
      <c r="I45" s="53">
        <v>41.422924037025901</v>
      </c>
      <c r="J45" s="71">
        <v>64.667595634379893</v>
      </c>
    </row>
    <row r="46" spans="1:10" x14ac:dyDescent="0.3">
      <c r="A46" s="78">
        <v>1995</v>
      </c>
      <c r="B46" s="53">
        <v>2.1829068085122798</v>
      </c>
      <c r="C46" s="53">
        <v>3.2612565349881799</v>
      </c>
      <c r="D46" s="53">
        <v>6.1491916277708203</v>
      </c>
      <c r="E46" s="53">
        <v>12.4698461256862</v>
      </c>
      <c r="F46" s="53">
        <v>13.0377312507316</v>
      </c>
      <c r="G46" s="53">
        <v>24.488666408138901</v>
      </c>
      <c r="H46" s="53">
        <v>34.730890123376099</v>
      </c>
      <c r="I46" s="53">
        <v>44.142775598984699</v>
      </c>
      <c r="J46" s="71">
        <v>57.933254783896103</v>
      </c>
    </row>
    <row r="47" spans="1:10" x14ac:dyDescent="0.3">
      <c r="A47" s="78">
        <v>1996</v>
      </c>
      <c r="B47" s="53">
        <v>2.1495772162753299</v>
      </c>
      <c r="C47" s="53">
        <v>3.4531430992334902</v>
      </c>
      <c r="D47" s="53">
        <v>5.1912984177393096</v>
      </c>
      <c r="E47" s="53">
        <v>13.011639918318201</v>
      </c>
      <c r="F47" s="53">
        <v>12.8529731486414</v>
      </c>
      <c r="G47" s="53">
        <v>21.358247994605101</v>
      </c>
      <c r="H47" s="53">
        <v>28.961910582067102</v>
      </c>
      <c r="I47" s="53">
        <v>38.155846269982199</v>
      </c>
      <c r="J47" s="71">
        <v>66.864007614507997</v>
      </c>
    </row>
    <row r="48" spans="1:10" x14ac:dyDescent="0.3">
      <c r="A48" s="78">
        <v>1997</v>
      </c>
      <c r="B48" s="53">
        <v>1.96469613742732</v>
      </c>
      <c r="C48" s="53">
        <v>4.2416814086937302</v>
      </c>
      <c r="D48" s="53">
        <v>5.3695225827029898</v>
      </c>
      <c r="E48" s="53">
        <v>13.2487563107921</v>
      </c>
      <c r="F48" s="53">
        <v>15.837681653348501</v>
      </c>
      <c r="G48" s="53">
        <v>21.283602956069799</v>
      </c>
      <c r="H48" s="53">
        <v>27.943031530240098</v>
      </c>
      <c r="I48" s="53">
        <v>49.646186279117899</v>
      </c>
      <c r="J48" s="71">
        <v>62.2592463450232</v>
      </c>
    </row>
    <row r="49" spans="1:10" x14ac:dyDescent="0.3">
      <c r="A49" s="78">
        <v>1998</v>
      </c>
      <c r="B49" s="53">
        <v>1.73647191172751</v>
      </c>
      <c r="C49" s="53">
        <v>3.26975047882283</v>
      </c>
      <c r="D49" s="53">
        <v>6.1213525840690997</v>
      </c>
      <c r="E49" s="53">
        <v>12.176115995109299</v>
      </c>
      <c r="F49" s="53">
        <v>13.151243674233701</v>
      </c>
      <c r="G49" s="53">
        <v>18.764957632900298</v>
      </c>
      <c r="H49" s="53">
        <v>30.768190672382399</v>
      </c>
      <c r="I49" s="53">
        <v>48.704525174844498</v>
      </c>
      <c r="J49" s="71">
        <v>47.640249853581601</v>
      </c>
    </row>
    <row r="50" spans="1:10" x14ac:dyDescent="0.3">
      <c r="A50" s="78">
        <v>1999</v>
      </c>
      <c r="B50" s="53">
        <v>2.08685789576485</v>
      </c>
      <c r="C50" s="53">
        <v>3.4100238174034101</v>
      </c>
      <c r="D50" s="53">
        <v>6.1833512633995902</v>
      </c>
      <c r="E50" s="53">
        <v>10.674872964727401</v>
      </c>
      <c r="F50" s="53">
        <v>13.045699995403499</v>
      </c>
      <c r="G50" s="53">
        <v>21.808753513219798</v>
      </c>
      <c r="H50" s="53">
        <v>29.364888687569501</v>
      </c>
      <c r="I50" s="53">
        <v>46.586857408159098</v>
      </c>
      <c r="J50" s="71">
        <v>69.931673468663703</v>
      </c>
    </row>
    <row r="51" spans="1:10" x14ac:dyDescent="0.3">
      <c r="A51" s="79">
        <v>2000</v>
      </c>
      <c r="B51" s="56">
        <v>2.07517015225327</v>
      </c>
      <c r="C51" s="56">
        <v>4.3566647162118102</v>
      </c>
      <c r="D51" s="56">
        <v>5.2542718008214901</v>
      </c>
      <c r="E51" s="56">
        <v>12.0604448921488</v>
      </c>
      <c r="F51" s="56">
        <v>12.4455746496297</v>
      </c>
      <c r="G51" s="56">
        <v>24.285804324279599</v>
      </c>
      <c r="H51" s="56">
        <v>31.7678406310594</v>
      </c>
      <c r="I51" s="56">
        <v>43.193762802965203</v>
      </c>
      <c r="J51" s="58">
        <v>60.862342503881003</v>
      </c>
    </row>
    <row r="53" spans="1:10" x14ac:dyDescent="0.3">
      <c r="B53" s="134" t="s">
        <v>125</v>
      </c>
      <c r="C53" s="134"/>
      <c r="D53" s="134"/>
      <c r="E53" s="134"/>
      <c r="F53" s="134"/>
      <c r="G53" s="134"/>
      <c r="H53" s="134"/>
      <c r="I53" s="134"/>
      <c r="J53" s="134"/>
    </row>
    <row r="54" spans="1:10" x14ac:dyDescent="0.3">
      <c r="A54" s="80" t="s">
        <v>50</v>
      </c>
      <c r="B54" s="53">
        <f>AVERAGE(B2:B51)</f>
        <v>2.0177611115658998</v>
      </c>
      <c r="C54" s="53">
        <f t="shared" ref="C54:J54" si="0">AVERAGE(C2:C51)</f>
        <v>3.533282742246691</v>
      </c>
      <c r="D54" s="53">
        <f t="shared" si="0"/>
        <v>6.0542453408721455</v>
      </c>
      <c r="E54" s="53">
        <f t="shared" si="0"/>
        <v>12.015114915596754</v>
      </c>
      <c r="F54" s="53">
        <f t="shared" si="0"/>
        <v>13.854235110847835</v>
      </c>
      <c r="G54" s="53">
        <f t="shared" si="0"/>
        <v>19.881326227191824</v>
      </c>
      <c r="H54" s="53">
        <f t="shared" si="0"/>
        <v>30.868049899799935</v>
      </c>
      <c r="I54" s="53">
        <f t="shared" si="0"/>
        <v>45.37954889673636</v>
      </c>
      <c r="J54" s="53">
        <f t="shared" si="0"/>
        <v>60.77059371768275</v>
      </c>
    </row>
    <row r="55" spans="1:10" x14ac:dyDescent="0.3">
      <c r="A55" s="80" t="s">
        <v>51</v>
      </c>
      <c r="B55" s="53">
        <f>_xlfn.STDEV.S(B2:B51)</f>
        <v>0.19978781067835136</v>
      </c>
      <c r="C55" s="53">
        <f t="shared" ref="C55:J55" si="1">_xlfn.STDEV.S(C2:C51)</f>
        <v>0.37271338464949083</v>
      </c>
      <c r="D55" s="53">
        <f t="shared" si="1"/>
        <v>0.56388863170175685</v>
      </c>
      <c r="E55" s="53">
        <f t="shared" si="1"/>
        <v>1.0884196561070101</v>
      </c>
      <c r="F55" s="53">
        <f t="shared" si="1"/>
        <v>1.4343971021219131</v>
      </c>
      <c r="G55" s="53">
        <f t="shared" si="1"/>
        <v>1.9112729022124859</v>
      </c>
      <c r="H55" s="53">
        <f t="shared" si="1"/>
        <v>3.1362167629571887</v>
      </c>
      <c r="I55" s="53">
        <f t="shared" si="1"/>
        <v>4.9546181392976392</v>
      </c>
      <c r="J55" s="53">
        <f t="shared" si="1"/>
        <v>6.3132660635124518</v>
      </c>
    </row>
    <row r="56" spans="1:10" x14ac:dyDescent="0.3">
      <c r="A56" s="1"/>
    </row>
    <row r="57" spans="1:10" x14ac:dyDescent="0.3">
      <c r="A57" s="1"/>
      <c r="B57" s="134" t="s">
        <v>162</v>
      </c>
      <c r="C57" s="134"/>
      <c r="D57" s="134"/>
      <c r="E57" s="134"/>
      <c r="F57" s="134"/>
      <c r="G57" s="134"/>
      <c r="H57" s="134"/>
      <c r="I57" s="134"/>
      <c r="J57" s="134"/>
    </row>
    <row r="58" spans="1:10" x14ac:dyDescent="0.3">
      <c r="A58" s="80" t="s">
        <v>52</v>
      </c>
      <c r="B58" s="53">
        <f>B55/SQRT(1.645)</f>
        <v>0.1557707950973404</v>
      </c>
      <c r="C58" s="53">
        <f t="shared" ref="C58:J58" si="2">C55/SQRT(1.645)</f>
        <v>0.29059760989994721</v>
      </c>
      <c r="D58" s="53">
        <f t="shared" si="2"/>
        <v>0.43965335126449689</v>
      </c>
      <c r="E58" s="53">
        <f t="shared" si="2"/>
        <v>0.84862031700382534</v>
      </c>
      <c r="F58" s="53">
        <f t="shared" si="2"/>
        <v>1.1183724188387767</v>
      </c>
      <c r="G58" s="53">
        <f t="shared" si="2"/>
        <v>1.4901835032616468</v>
      </c>
      <c r="H58" s="53">
        <f t="shared" si="2"/>
        <v>2.445249172633257</v>
      </c>
      <c r="I58" s="53">
        <f t="shared" si="2"/>
        <v>3.8630224954245804</v>
      </c>
      <c r="J58" s="53">
        <f t="shared" si="2"/>
        <v>4.9223347061831175</v>
      </c>
    </row>
    <row r="59" spans="1:10" x14ac:dyDescent="0.3">
      <c r="A59" s="80" t="s">
        <v>53</v>
      </c>
      <c r="B59" s="53">
        <f>B54-0.5772*B58</f>
        <v>1.9278502086357148</v>
      </c>
      <c r="C59" s="53">
        <f t="shared" ref="C59:J59" si="3">C54-0.5772*C58</f>
        <v>3.3655498018124415</v>
      </c>
      <c r="D59" s="53">
        <f t="shared" si="3"/>
        <v>5.8004774265222778</v>
      </c>
      <c r="E59" s="53">
        <f t="shared" si="3"/>
        <v>11.525291268622146</v>
      </c>
      <c r="F59" s="53">
        <f t="shared" si="3"/>
        <v>13.208710550694093</v>
      </c>
      <c r="G59" s="53">
        <f t="shared" si="3"/>
        <v>19.021192309109203</v>
      </c>
      <c r="H59" s="53">
        <f t="shared" si="3"/>
        <v>29.456652077356019</v>
      </c>
      <c r="I59" s="53">
        <f t="shared" si="3"/>
        <v>43.149812312377293</v>
      </c>
      <c r="J59" s="53">
        <f t="shared" si="3"/>
        <v>57.929422125273852</v>
      </c>
    </row>
    <row r="60" spans="1:10" x14ac:dyDescent="0.3">
      <c r="A60" s="1"/>
    </row>
    <row r="61" spans="1:10" x14ac:dyDescent="0.3">
      <c r="A61" s="1"/>
      <c r="B61" s="134" t="s">
        <v>163</v>
      </c>
      <c r="C61" s="134"/>
      <c r="D61" s="134"/>
      <c r="E61" s="134"/>
      <c r="F61" s="134"/>
      <c r="G61" s="134"/>
      <c r="H61" s="134"/>
      <c r="I61" s="134"/>
      <c r="J61" s="134"/>
    </row>
    <row r="62" spans="1:10" x14ac:dyDescent="0.3">
      <c r="A62" s="80" t="s">
        <v>12</v>
      </c>
      <c r="B62" s="53">
        <f>LN(B54)-B63^2/2</f>
        <v>0.69711046370883822</v>
      </c>
      <c r="C62" s="53">
        <f t="shared" ref="C62:J62" si="4">LN(C54)-C63^2/2</f>
        <v>1.256694427554057</v>
      </c>
      <c r="D62" s="53">
        <f t="shared" si="4"/>
        <v>1.7964409690956669</v>
      </c>
      <c r="E62" s="53">
        <f t="shared" si="4"/>
        <v>2.482079126128518</v>
      </c>
      <c r="F62" s="53">
        <f t="shared" si="4"/>
        <v>2.623259753555176</v>
      </c>
      <c r="G62" s="53">
        <f t="shared" si="4"/>
        <v>2.9851812523479753</v>
      </c>
      <c r="H62" s="53">
        <f t="shared" si="4"/>
        <v>3.4245867674652568</v>
      </c>
      <c r="I62" s="53">
        <f t="shared" si="4"/>
        <v>3.809136458144835</v>
      </c>
      <c r="J62" s="53">
        <f t="shared" si="4"/>
        <v>4.1017386879114195</v>
      </c>
    </row>
    <row r="63" spans="1:10" x14ac:dyDescent="0.3">
      <c r="A63" s="80" t="s">
        <v>51</v>
      </c>
      <c r="B63" s="53">
        <f>SQRT(LN(B55^2/B54^2 +1))</f>
        <v>9.8773198869681555E-2</v>
      </c>
      <c r="C63" s="53">
        <f t="shared" ref="C63:J63" si="5">SQRT(LN(C55^2/C54^2 +1))</f>
        <v>0.10519473904411168</v>
      </c>
      <c r="D63" s="53">
        <f t="shared" si="5"/>
        <v>9.2938324703381731E-2</v>
      </c>
      <c r="E63" s="53">
        <f t="shared" si="5"/>
        <v>9.0402514992396349E-2</v>
      </c>
      <c r="F63" s="53">
        <f t="shared" si="5"/>
        <v>0.10325905783472704</v>
      </c>
      <c r="G63" s="53">
        <f t="shared" si="5"/>
        <v>9.5913067771793523E-2</v>
      </c>
      <c r="H63" s="53">
        <f t="shared" si="5"/>
        <v>0.10133999884697034</v>
      </c>
      <c r="I63" s="53">
        <f t="shared" si="5"/>
        <v>0.10885844554384168</v>
      </c>
      <c r="J63" s="53">
        <f t="shared" si="5"/>
        <v>0.10360818599191116</v>
      </c>
    </row>
  </sheetData>
  <mergeCells count="3">
    <mergeCell ref="B57:J57"/>
    <mergeCell ref="B61:J61"/>
    <mergeCell ref="B53:J5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584"/>
  <sheetViews>
    <sheetView topLeftCell="A59" zoomScaleNormal="100" workbookViewId="0">
      <selection activeCell="G54" sqref="G54:J57"/>
    </sheetView>
  </sheetViews>
  <sheetFormatPr defaultRowHeight="14.4" x14ac:dyDescent="0.3"/>
  <cols>
    <col min="1" max="1" width="8.88671875" style="18"/>
    <col min="5" max="5" width="11.44140625" customWidth="1"/>
    <col min="6" max="6" width="10.109375" customWidth="1"/>
    <col min="8" max="8" width="7.21875" customWidth="1"/>
    <col min="9" max="9" width="9.21875" customWidth="1"/>
    <col min="10" max="10" width="9.33203125" customWidth="1"/>
    <col min="11" max="11" width="9.44140625" customWidth="1"/>
    <col min="12" max="13" width="9.21875" customWidth="1"/>
    <col min="16" max="17" width="12" bestFit="1" customWidth="1"/>
    <col min="23" max="23" width="10.6640625" bestFit="1" customWidth="1"/>
    <col min="30" max="30" width="12" bestFit="1" customWidth="1"/>
  </cols>
  <sheetData>
    <row r="1" spans="1:28" s="19" customFormat="1" x14ac:dyDescent="0.3">
      <c r="A1" s="135" t="s">
        <v>35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28" ht="42" customHeight="1" x14ac:dyDescent="0.3">
      <c r="A2" s="81" t="s">
        <v>49</v>
      </c>
      <c r="B2" s="80" t="s">
        <v>24</v>
      </c>
      <c r="C2" s="80" t="s">
        <v>11</v>
      </c>
      <c r="D2" s="82" t="s">
        <v>16</v>
      </c>
      <c r="E2" s="83" t="s">
        <v>17</v>
      </c>
      <c r="F2" s="83" t="s">
        <v>18</v>
      </c>
      <c r="G2" s="82" t="s">
        <v>19</v>
      </c>
      <c r="H2" s="82" t="s">
        <v>20</v>
      </c>
      <c r="I2" s="82" t="s">
        <v>21</v>
      </c>
      <c r="J2" s="82" t="s">
        <v>22</v>
      </c>
      <c r="M2" s="7"/>
      <c r="N2" s="7"/>
      <c r="O2" s="7"/>
      <c r="X2" s="19"/>
      <c r="Y2" s="19"/>
      <c r="Z2" s="19"/>
      <c r="AA2" s="19"/>
      <c r="AB2" s="9"/>
    </row>
    <row r="3" spans="1:28" x14ac:dyDescent="0.3">
      <c r="A3" s="81">
        <v>1951</v>
      </c>
      <c r="B3" s="84" cm="1">
        <f t="array" ref="B3:B52">Dataset!B2:B51</f>
        <v>1.74000693599121</v>
      </c>
      <c r="C3" s="84">
        <v>1.6428353844155299</v>
      </c>
      <c r="D3" s="85">
        <v>1</v>
      </c>
      <c r="E3" s="86">
        <f t="shared" ref="E3:E34" si="0">(C3-B$54)/B$55</f>
        <v>-1.8766196289821806</v>
      </c>
      <c r="F3" s="86">
        <f>D3/50</f>
        <v>0.02</v>
      </c>
      <c r="G3" s="86">
        <f>_xlfn.LOGNORM.DIST(C3,Dataset!B$62,Dataset!B$63,TRUE)</f>
        <v>2.1087242607463506E-2</v>
      </c>
      <c r="H3" s="86">
        <f>ABS(G3-F3)</f>
        <v>1.0872426074635053E-3</v>
      </c>
      <c r="I3" s="87">
        <f>EXP(-EXP(-(C3-Dataset!B$59)/Dataset!B$58))</f>
        <v>1.9654052948925222E-3</v>
      </c>
      <c r="J3" s="86">
        <f>ABS(I3-F3)</f>
        <v>1.8034594705107477E-2</v>
      </c>
    </row>
    <row r="4" spans="1:28" x14ac:dyDescent="0.3">
      <c r="A4" s="81">
        <v>1952</v>
      </c>
      <c r="B4" s="84">
        <v>2.4360343891969798</v>
      </c>
      <c r="C4" s="84">
        <v>1.67856330319108</v>
      </c>
      <c r="D4" s="85">
        <v>2</v>
      </c>
      <c r="E4" s="86">
        <f t="shared" si="0"/>
        <v>-1.6977903067415443</v>
      </c>
      <c r="F4" s="86">
        <f t="shared" ref="F4:F52" si="1">D4/50</f>
        <v>0.04</v>
      </c>
      <c r="G4" s="86">
        <f>_xlfn.LOGNORM.DIST(C4,Dataset!B$62,Dataset!B$63,TRUE)</f>
        <v>3.4840709890499713E-2</v>
      </c>
      <c r="H4" s="86">
        <f t="shared" ref="H4:H52" si="2">ABS(G4-F4)</f>
        <v>5.1592901095002877E-3</v>
      </c>
      <c r="I4" s="87">
        <f>EXP(-EXP(-(C4-Dataset!B$59)/Dataset!B$58))</f>
        <v>7.0499264719176358E-3</v>
      </c>
      <c r="J4" s="86">
        <f t="shared" ref="J4:J52" si="3">ABS(I4-F4)</f>
        <v>3.2950073528082366E-2</v>
      </c>
    </row>
    <row r="5" spans="1:28" x14ac:dyDescent="0.3">
      <c r="A5" s="81">
        <v>1953</v>
      </c>
      <c r="B5" s="84">
        <v>1.99545571988165</v>
      </c>
      <c r="C5" s="84">
        <v>1.6973211282291101</v>
      </c>
      <c r="D5" s="85">
        <v>3</v>
      </c>
      <c r="E5" s="86">
        <f t="shared" si="0"/>
        <v>-1.6039015706152486</v>
      </c>
      <c r="F5" s="86">
        <f t="shared" si="1"/>
        <v>0.06</v>
      </c>
      <c r="G5" s="86">
        <f>_xlfn.LOGNORM.DIST(C5,Dataset!B$62,Dataset!B$63,TRUE)</f>
        <v>4.4427736800832035E-2</v>
      </c>
      <c r="H5" s="86">
        <f t="shared" si="2"/>
        <v>1.5572263199167963E-2</v>
      </c>
      <c r="I5" s="87">
        <f>EXP(-EXP(-(C5-Dataset!B$59)/Dataset!B$58))</f>
        <v>1.2368333275880843E-2</v>
      </c>
      <c r="J5" s="86">
        <f t="shared" si="3"/>
        <v>4.7631666724119157E-2</v>
      </c>
    </row>
    <row r="6" spans="1:28" x14ac:dyDescent="0.3">
      <c r="A6" s="81">
        <v>1954</v>
      </c>
      <c r="B6" s="84">
        <v>2.0233203017841102</v>
      </c>
      <c r="C6" s="84">
        <v>1.7053756820556201</v>
      </c>
      <c r="D6" s="85">
        <v>4</v>
      </c>
      <c r="E6" s="86">
        <f t="shared" si="0"/>
        <v>-1.5635860288453984</v>
      </c>
      <c r="F6" s="86">
        <f t="shared" si="1"/>
        <v>0.08</v>
      </c>
      <c r="G6" s="86">
        <f>_xlfn.LOGNORM.DIST(C6,Dataset!B$62,Dataset!B$63,TRUE)</f>
        <v>4.9110917276193725E-2</v>
      </c>
      <c r="H6" s="86">
        <f t="shared" si="2"/>
        <v>3.0889082723806277E-2</v>
      </c>
      <c r="I6" s="87">
        <f>EXP(-EXP(-(C6-Dataset!B$59)/Dataset!B$58))</f>
        <v>1.5432864516312889E-2</v>
      </c>
      <c r="J6" s="86">
        <f t="shared" si="3"/>
        <v>6.4567135483687116E-2</v>
      </c>
    </row>
    <row r="7" spans="1:28" x14ac:dyDescent="0.3">
      <c r="A7" s="81">
        <v>1955</v>
      </c>
      <c r="B7" s="84">
        <v>1.8613571499851</v>
      </c>
      <c r="C7" s="84">
        <v>1.73647191172751</v>
      </c>
      <c r="D7" s="85">
        <v>5</v>
      </c>
      <c r="E7" s="86">
        <f t="shared" si="0"/>
        <v>-1.4079397480922979</v>
      </c>
      <c r="F7" s="86">
        <f t="shared" si="1"/>
        <v>0.1</v>
      </c>
      <c r="G7" s="86">
        <f>_xlfn.LOGNORM.DIST(C7,Dataset!B$62,Dataset!B$63,TRUE)</f>
        <v>7.0700785761985616E-2</v>
      </c>
      <c r="H7" s="86">
        <f t="shared" si="2"/>
        <v>2.929921423801439E-2</v>
      </c>
      <c r="I7" s="87">
        <f>EXP(-EXP(-(C7-Dataset!B$59)/Dataset!B$58))</f>
        <v>3.2830220259514278E-2</v>
      </c>
      <c r="J7" s="86">
        <f t="shared" si="3"/>
        <v>6.7169779740485727E-2</v>
      </c>
    </row>
    <row r="8" spans="1:28" x14ac:dyDescent="0.3">
      <c r="A8" s="81">
        <v>1956</v>
      </c>
      <c r="B8" s="84">
        <v>2.3432889753794801</v>
      </c>
      <c r="C8" s="84">
        <v>1.74000693599121</v>
      </c>
      <c r="D8" s="85">
        <v>6</v>
      </c>
      <c r="E8" s="86">
        <f t="shared" si="0"/>
        <v>-1.3902458544974019</v>
      </c>
      <c r="F8" s="86">
        <f t="shared" si="1"/>
        <v>0.12</v>
      </c>
      <c r="G8" s="86">
        <f>_xlfn.LOGNORM.DIST(C8,Dataset!B$62,Dataset!B$63,TRUE)</f>
        <v>7.3528940685667191E-2</v>
      </c>
      <c r="H8" s="86">
        <f t="shared" si="2"/>
        <v>4.6471059314332805E-2</v>
      </c>
      <c r="I8" s="87">
        <f>EXP(-EXP(-(C8-Dataset!B$59)/Dataset!B$58))</f>
        <v>3.5445893226924E-2</v>
      </c>
      <c r="J8" s="86">
        <f t="shared" si="3"/>
        <v>8.4554106773075996E-2</v>
      </c>
    </row>
    <row r="9" spans="1:28" x14ac:dyDescent="0.3">
      <c r="A9" s="81">
        <v>1957</v>
      </c>
      <c r="B9" s="84">
        <v>1.6973211282291101</v>
      </c>
      <c r="C9" s="84">
        <v>1.7700290896094599</v>
      </c>
      <c r="D9" s="85">
        <v>7</v>
      </c>
      <c r="E9" s="86">
        <f t="shared" si="0"/>
        <v>-1.2399756577505938</v>
      </c>
      <c r="F9" s="86">
        <f t="shared" si="1"/>
        <v>0.14000000000000001</v>
      </c>
      <c r="G9" s="86">
        <f>_xlfn.LOGNORM.DIST(C9,Dataset!B$62,Dataset!B$63,TRUE)</f>
        <v>0.10083489162380443</v>
      </c>
      <c r="H9" s="86">
        <f t="shared" si="2"/>
        <v>3.9165108376195579E-2</v>
      </c>
      <c r="I9" s="87">
        <f>EXP(-EXP(-(C9-Dataset!B$59)/Dataset!B$58))</f>
        <v>6.3653716843546815E-2</v>
      </c>
      <c r="J9" s="86">
        <f t="shared" si="3"/>
        <v>7.6346283156453199E-2</v>
      </c>
    </row>
    <row r="10" spans="1:28" x14ac:dyDescent="0.3">
      <c r="A10" s="81">
        <v>1958</v>
      </c>
      <c r="B10" s="84">
        <v>2.1708122815596198</v>
      </c>
      <c r="C10" s="84">
        <v>1.7707943580043499</v>
      </c>
      <c r="D10" s="85">
        <v>8</v>
      </c>
      <c r="E10" s="86">
        <f t="shared" si="0"/>
        <v>-1.2361452519200697</v>
      </c>
      <c r="F10" s="86">
        <f t="shared" si="1"/>
        <v>0.16</v>
      </c>
      <c r="G10" s="86">
        <f>_xlfn.LOGNORM.DIST(C10,Dataset!B$62,Dataset!B$63,TRUE)</f>
        <v>0.10160974714624371</v>
      </c>
      <c r="H10" s="86">
        <f t="shared" si="2"/>
        <v>5.8390252853756291E-2</v>
      </c>
      <c r="I10" s="87">
        <f>EXP(-EXP(-(C10-Dataset!B$59)/Dataset!B$58))</f>
        <v>6.451874526081651E-2</v>
      </c>
      <c r="J10" s="86">
        <f t="shared" si="3"/>
        <v>9.5481254739183494E-2</v>
      </c>
    </row>
    <row r="11" spans="1:28" x14ac:dyDescent="0.3">
      <c r="A11" s="81">
        <v>1959</v>
      </c>
      <c r="B11" s="84">
        <v>2.0834065378294402</v>
      </c>
      <c r="C11" s="84">
        <v>1.8011804918145899</v>
      </c>
      <c r="D11" s="85">
        <v>9</v>
      </c>
      <c r="E11" s="86">
        <f t="shared" si="0"/>
        <v>-1.0840532213448901</v>
      </c>
      <c r="F11" s="86">
        <f t="shared" si="1"/>
        <v>0.18</v>
      </c>
      <c r="G11" s="86">
        <f>_xlfn.LOGNORM.DIST(C11,Dataset!B$62,Dataset!B$63,TRUE)</f>
        <v>0.13562710050743651</v>
      </c>
      <c r="H11" s="86">
        <f t="shared" si="2"/>
        <v>4.4372899492563483E-2</v>
      </c>
      <c r="I11" s="87">
        <f>EXP(-EXP(-(C11-Dataset!B$59)/Dataset!B$58))</f>
        <v>0.10486640989024737</v>
      </c>
      <c r="J11" s="86">
        <f t="shared" si="3"/>
        <v>7.5133590109752624E-2</v>
      </c>
    </row>
    <row r="12" spans="1:28" x14ac:dyDescent="0.3">
      <c r="A12" s="81">
        <v>1960</v>
      </c>
      <c r="B12" s="84">
        <v>2.1496027756404201</v>
      </c>
      <c r="C12" s="84">
        <v>1.8048044016410301</v>
      </c>
      <c r="D12" s="85">
        <v>10</v>
      </c>
      <c r="E12" s="86">
        <f t="shared" si="0"/>
        <v>-1.0659144279213291</v>
      </c>
      <c r="F12" s="86">
        <f t="shared" si="1"/>
        <v>0.2</v>
      </c>
      <c r="G12" s="86">
        <f>_xlfn.LOGNORM.DIST(C12,Dataset!B$62,Dataset!B$63,TRUE)</f>
        <v>0.14010899154902062</v>
      </c>
      <c r="H12" s="86">
        <f t="shared" si="2"/>
        <v>5.9891008450979388E-2</v>
      </c>
      <c r="I12" s="87">
        <f>EXP(-EXP(-(C12-Dataset!B$59)/Dataset!B$58))</f>
        <v>0.11044795835276304</v>
      </c>
      <c r="J12" s="86">
        <f t="shared" si="3"/>
        <v>8.9552041647236971E-2</v>
      </c>
    </row>
    <row r="13" spans="1:28" x14ac:dyDescent="0.3">
      <c r="A13" s="81">
        <v>1961</v>
      </c>
      <c r="B13" s="84">
        <v>1.9437745196643099</v>
      </c>
      <c r="C13" s="84">
        <v>1.8185225281217601</v>
      </c>
      <c r="D13" s="85">
        <v>11</v>
      </c>
      <c r="E13" s="86">
        <f t="shared" si="0"/>
        <v>-0.99725094723073027</v>
      </c>
      <c r="F13" s="86">
        <f t="shared" si="1"/>
        <v>0.22</v>
      </c>
      <c r="G13" s="86">
        <f>_xlfn.LOGNORM.DIST(C13,Dataset!B$62,Dataset!B$63,TRUE)</f>
        <v>0.15788995942080339</v>
      </c>
      <c r="H13" s="86">
        <f t="shared" si="2"/>
        <v>6.2110040579196613E-2</v>
      </c>
      <c r="I13" s="87">
        <f>EXP(-EXP(-(C13-Dataset!B$59)/Dataset!B$58))</f>
        <v>0.13299005548689061</v>
      </c>
      <c r="J13" s="86">
        <f t="shared" si="3"/>
        <v>8.7009944513109394E-2</v>
      </c>
    </row>
    <row r="14" spans="1:28" x14ac:dyDescent="0.3">
      <c r="A14" s="81">
        <v>1962</v>
      </c>
      <c r="B14" s="84">
        <v>1.9949734631974501</v>
      </c>
      <c r="C14" s="84">
        <v>1.8463268224742899</v>
      </c>
      <c r="D14" s="85">
        <v>12</v>
      </c>
      <c r="E14" s="86">
        <f t="shared" si="0"/>
        <v>-0.85808182445930448</v>
      </c>
      <c r="F14" s="86">
        <f t="shared" si="1"/>
        <v>0.24</v>
      </c>
      <c r="G14" s="86">
        <f>_xlfn.LOGNORM.DIST(C14,Dataset!B$62,Dataset!B$63,TRUE)</f>
        <v>0.19778898743725887</v>
      </c>
      <c r="H14" s="86">
        <f t="shared" si="2"/>
        <v>4.2211012562741124E-2</v>
      </c>
      <c r="I14" s="87">
        <f>EXP(-EXP(-(C14-Dataset!B$59)/Dataset!B$58))</f>
        <v>0.18494812206453926</v>
      </c>
      <c r="J14" s="86">
        <f t="shared" si="3"/>
        <v>5.5051877935460736E-2</v>
      </c>
    </row>
    <row r="15" spans="1:28" x14ac:dyDescent="0.3">
      <c r="A15" s="81">
        <v>1963</v>
      </c>
      <c r="B15" s="84">
        <v>1.8011804918145899</v>
      </c>
      <c r="C15" s="84">
        <v>1.8613571499851</v>
      </c>
      <c r="D15" s="85">
        <v>13</v>
      </c>
      <c r="E15" s="86">
        <f t="shared" si="0"/>
        <v>-0.78285037034918248</v>
      </c>
      <c r="F15" s="86">
        <f t="shared" si="1"/>
        <v>0.26</v>
      </c>
      <c r="G15" s="86">
        <f>_xlfn.LOGNORM.DIST(C15,Dataset!B$62,Dataset!B$63,TRUE)</f>
        <v>0.22140369547400152</v>
      </c>
      <c r="H15" s="86">
        <f t="shared" si="2"/>
        <v>3.8596304525998493E-2</v>
      </c>
      <c r="I15" s="87">
        <f>EXP(-EXP(-(C15-Dataset!B$59)/Dataset!B$58))</f>
        <v>0.2160068073310597</v>
      </c>
      <c r="J15" s="86">
        <f t="shared" si="3"/>
        <v>4.3993192668940306E-2</v>
      </c>
    </row>
    <row r="16" spans="1:28" x14ac:dyDescent="0.3">
      <c r="A16" s="81">
        <v>1964</v>
      </c>
      <c r="B16" s="84">
        <v>2.1897189128284</v>
      </c>
      <c r="C16" s="84">
        <v>1.8833022654709599</v>
      </c>
      <c r="D16" s="85">
        <v>14</v>
      </c>
      <c r="E16" s="86">
        <f t="shared" si="0"/>
        <v>-0.67300825630154204</v>
      </c>
      <c r="F16" s="86">
        <f t="shared" si="1"/>
        <v>0.28000000000000003</v>
      </c>
      <c r="G16" s="86">
        <f>_xlfn.LOGNORM.DIST(C16,Dataset!B$62,Dataset!B$63,TRUE)</f>
        <v>0.25823496707479382</v>
      </c>
      <c r="H16" s="86">
        <f t="shared" si="2"/>
        <v>2.1765032925206207E-2</v>
      </c>
      <c r="I16" s="87">
        <f>EXP(-EXP(-(C16-Dataset!B$59)/Dataset!B$58))</f>
        <v>0.26419414291997645</v>
      </c>
      <c r="J16" s="86">
        <f t="shared" si="3"/>
        <v>1.5805857080023578E-2</v>
      </c>
    </row>
    <row r="17" spans="1:10" x14ac:dyDescent="0.3">
      <c r="A17" s="81">
        <v>1965</v>
      </c>
      <c r="B17" s="84">
        <v>2.0020760476057098</v>
      </c>
      <c r="C17" s="84">
        <v>1.88765633193768</v>
      </c>
      <c r="D17" s="85">
        <v>15</v>
      </c>
      <c r="E17" s="86">
        <f t="shared" si="0"/>
        <v>-0.65121480227681217</v>
      </c>
      <c r="F17" s="86">
        <f t="shared" si="1"/>
        <v>0.3</v>
      </c>
      <c r="G17" s="86">
        <f>_xlfn.LOGNORM.DIST(C17,Dataset!B$62,Dataset!B$63,TRUE)</f>
        <v>0.26584869574660597</v>
      </c>
      <c r="H17" s="86">
        <f t="shared" si="2"/>
        <v>3.4151304253394021E-2</v>
      </c>
      <c r="I17" s="87">
        <f>EXP(-EXP(-(C17-Dataset!B$59)/Dataset!B$58))</f>
        <v>0.27406760714236117</v>
      </c>
      <c r="J17" s="86">
        <f t="shared" si="3"/>
        <v>2.593239285763882E-2</v>
      </c>
    </row>
    <row r="18" spans="1:10" x14ac:dyDescent="0.3">
      <c r="A18" s="81">
        <v>1966</v>
      </c>
      <c r="B18" s="84">
        <v>2.29460216866776</v>
      </c>
      <c r="C18" s="84">
        <v>1.90082040943203</v>
      </c>
      <c r="D18" s="85">
        <v>16</v>
      </c>
      <c r="E18" s="86">
        <f t="shared" si="0"/>
        <v>-0.58532450872159858</v>
      </c>
      <c r="F18" s="86">
        <f t="shared" si="1"/>
        <v>0.32</v>
      </c>
      <c r="G18" s="86">
        <f>_xlfn.LOGNORM.DIST(C18,Dataset!B$62,Dataset!B$63,TRUE)</f>
        <v>0.28942741823324303</v>
      </c>
      <c r="H18" s="86">
        <f t="shared" si="2"/>
        <v>3.0572581766756979E-2</v>
      </c>
      <c r="I18" s="87">
        <f>EXP(-EXP(-(C18-Dataset!B$59)/Dataset!B$58))</f>
        <v>0.30437708992597756</v>
      </c>
      <c r="J18" s="86">
        <f t="shared" si="3"/>
        <v>1.5622910074022445E-2</v>
      </c>
    </row>
    <row r="19" spans="1:10" x14ac:dyDescent="0.3">
      <c r="A19" s="81">
        <v>1967</v>
      </c>
      <c r="B19" s="84">
        <v>2.15609686626911</v>
      </c>
      <c r="C19" s="84">
        <v>1.9437745196643099</v>
      </c>
      <c r="D19" s="85">
        <v>17</v>
      </c>
      <c r="E19" s="86">
        <f t="shared" si="0"/>
        <v>-0.37032585546825303</v>
      </c>
      <c r="F19" s="86">
        <f t="shared" si="1"/>
        <v>0.34</v>
      </c>
      <c r="G19" s="86">
        <f>_xlfn.LOGNORM.DIST(C19,Dataset!B$62,Dataset!B$63,TRUE)</f>
        <v>0.371145302533188</v>
      </c>
      <c r="H19" s="86">
        <f t="shared" si="2"/>
        <v>3.114530253318798E-2</v>
      </c>
      <c r="I19" s="87">
        <f>EXP(-EXP(-(C19-Dataset!B$59)/Dataset!B$58))</f>
        <v>0.40542366393980139</v>
      </c>
      <c r="J19" s="86">
        <f t="shared" si="3"/>
        <v>6.5423663939801369E-2</v>
      </c>
    </row>
    <row r="20" spans="1:10" x14ac:dyDescent="0.3">
      <c r="A20" s="81">
        <v>1968</v>
      </c>
      <c r="B20" s="84">
        <v>2.1757552463510601</v>
      </c>
      <c r="C20" s="84">
        <v>1.94631535837273</v>
      </c>
      <c r="D20" s="85">
        <v>18</v>
      </c>
      <c r="E20" s="86">
        <f t="shared" si="0"/>
        <v>-0.35760816913997817</v>
      </c>
      <c r="F20" s="86">
        <f t="shared" si="1"/>
        <v>0.36</v>
      </c>
      <c r="G20" s="86">
        <f>_xlfn.LOGNORM.DIST(C20,Dataset!B$62,Dataset!B$63,TRUE)</f>
        <v>0.37615454119640984</v>
      </c>
      <c r="H20" s="86">
        <f t="shared" si="2"/>
        <v>1.6154541196409855E-2</v>
      </c>
      <c r="I20" s="87">
        <f>EXP(-EXP(-(C20-Dataset!B$59)/Dataset!B$58))</f>
        <v>0.41138908563889331</v>
      </c>
      <c r="J20" s="86">
        <f t="shared" si="3"/>
        <v>5.1389085638893328E-2</v>
      </c>
    </row>
    <row r="21" spans="1:10" x14ac:dyDescent="0.3">
      <c r="A21" s="81">
        <v>1969</v>
      </c>
      <c r="B21" s="84">
        <v>1.94631535837273</v>
      </c>
      <c r="C21" s="84">
        <v>1.96469613742732</v>
      </c>
      <c r="D21" s="85">
        <v>19</v>
      </c>
      <c r="E21" s="86">
        <f t="shared" si="0"/>
        <v>-0.26560666518345216</v>
      </c>
      <c r="F21" s="86">
        <f t="shared" si="1"/>
        <v>0.38</v>
      </c>
      <c r="G21" s="86">
        <f>_xlfn.LOGNORM.DIST(C21,Dataset!B$62,Dataset!B$63,TRUE)</f>
        <v>0.41276699232290426</v>
      </c>
      <c r="H21" s="86">
        <f t="shared" si="2"/>
        <v>3.2766992322904254E-2</v>
      </c>
      <c r="I21" s="87">
        <f>EXP(-EXP(-(C21-Dataset!B$59)/Dataset!B$58))</f>
        <v>0.45413771528272145</v>
      </c>
      <c r="J21" s="86">
        <f t="shared" si="3"/>
        <v>7.413771528272145E-2</v>
      </c>
    </row>
    <row r="22" spans="1:10" x14ac:dyDescent="0.3">
      <c r="A22" s="81">
        <v>1970</v>
      </c>
      <c r="B22" s="84">
        <v>2.1134134761411398</v>
      </c>
      <c r="C22" s="84">
        <v>1.98009531491424</v>
      </c>
      <c r="D22" s="85">
        <v>20</v>
      </c>
      <c r="E22" s="86">
        <f t="shared" si="0"/>
        <v>-0.18852900246401874</v>
      </c>
      <c r="F22" s="86">
        <f t="shared" si="1"/>
        <v>0.4</v>
      </c>
      <c r="G22" s="86">
        <f>_xlfn.LOGNORM.DIST(C22,Dataset!B$62,Dataset!B$63,TRUE)</f>
        <v>0.44378117189476707</v>
      </c>
      <c r="H22" s="86">
        <f t="shared" si="2"/>
        <v>4.3781171894767046E-2</v>
      </c>
      <c r="I22" s="87">
        <f>EXP(-EXP(-(C22-Dataset!B$59)/Dataset!B$58))</f>
        <v>0.48916573088836551</v>
      </c>
      <c r="J22" s="86">
        <f t="shared" si="3"/>
        <v>8.9165730888365491E-2</v>
      </c>
    </row>
    <row r="23" spans="1:10" x14ac:dyDescent="0.3">
      <c r="A23" s="81">
        <v>1971</v>
      </c>
      <c r="B23" s="84">
        <v>2.0775191639683599</v>
      </c>
      <c r="C23" s="84">
        <v>1.9949734631974501</v>
      </c>
      <c r="D23" s="85">
        <v>21</v>
      </c>
      <c r="E23" s="86">
        <f t="shared" si="0"/>
        <v>-0.1140592526194539</v>
      </c>
      <c r="F23" s="86">
        <f t="shared" si="1"/>
        <v>0.42</v>
      </c>
      <c r="G23" s="86">
        <f>_xlfn.LOGNORM.DIST(C23,Dataset!B$62,Dataset!B$63,TRUE)</f>
        <v>0.47384736564309426</v>
      </c>
      <c r="H23" s="86">
        <f t="shared" si="2"/>
        <v>5.384736564309428E-2</v>
      </c>
      <c r="I23" s="87">
        <f>EXP(-EXP(-(C23-Dataset!B$59)/Dataset!B$58))</f>
        <v>0.52208903256565842</v>
      </c>
      <c r="J23" s="86">
        <f t="shared" si="3"/>
        <v>0.10208903256565843</v>
      </c>
    </row>
    <row r="24" spans="1:10" x14ac:dyDescent="0.3">
      <c r="A24" s="81">
        <v>1972</v>
      </c>
      <c r="B24" s="84">
        <v>2.0364984492665599</v>
      </c>
      <c r="C24" s="84">
        <v>1.99545571988165</v>
      </c>
      <c r="D24" s="85">
        <v>22</v>
      </c>
      <c r="E24" s="86">
        <f t="shared" si="0"/>
        <v>-0.11164540823844511</v>
      </c>
      <c r="F24" s="86">
        <f t="shared" si="1"/>
        <v>0.44</v>
      </c>
      <c r="G24" s="86">
        <f>_xlfn.LOGNORM.DIST(C24,Dataset!B$62,Dataset!B$63,TRUE)</f>
        <v>0.47482159115989175</v>
      </c>
      <c r="H24" s="86">
        <f t="shared" si="2"/>
        <v>3.4821591159891752E-2</v>
      </c>
      <c r="I24" s="87">
        <f>EXP(-EXP(-(C24-Dataset!B$59)/Dataset!B$58))</f>
        <v>0.52313895931961063</v>
      </c>
      <c r="J24" s="86">
        <f t="shared" si="3"/>
        <v>8.3138959319610628E-2</v>
      </c>
    </row>
    <row r="25" spans="1:10" x14ac:dyDescent="0.3">
      <c r="A25" s="81">
        <v>1973</v>
      </c>
      <c r="B25" s="84">
        <v>1.8048044016410301</v>
      </c>
      <c r="C25" s="84">
        <v>1.99923966135617</v>
      </c>
      <c r="D25" s="85">
        <v>23</v>
      </c>
      <c r="E25" s="86">
        <f t="shared" si="0"/>
        <v>-9.2705606747692737E-2</v>
      </c>
      <c r="F25" s="86">
        <f t="shared" si="1"/>
        <v>0.46</v>
      </c>
      <c r="G25" s="86">
        <f>_xlfn.LOGNORM.DIST(C25,Dataset!B$62,Dataset!B$63,TRUE)</f>
        <v>0.48246227344963916</v>
      </c>
      <c r="H25" s="86">
        <f t="shared" si="2"/>
        <v>2.2462273449639136E-2</v>
      </c>
      <c r="I25" s="87">
        <f>EXP(-EXP(-(C25-Dataset!B$59)/Dataset!B$58))</f>
        <v>0.53133691408623041</v>
      </c>
      <c r="J25" s="86">
        <f t="shared" si="3"/>
        <v>7.1336914086230385E-2</v>
      </c>
    </row>
    <row r="26" spans="1:10" x14ac:dyDescent="0.3">
      <c r="A26" s="81">
        <v>1974</v>
      </c>
      <c r="B26" s="84">
        <v>1.7053756820556201</v>
      </c>
      <c r="C26" s="84">
        <v>2.0020760476057098</v>
      </c>
      <c r="D26" s="85">
        <v>24</v>
      </c>
      <c r="E26" s="86">
        <f t="shared" si="0"/>
        <v>-7.8508613247893141E-2</v>
      </c>
      <c r="F26" s="86">
        <f t="shared" si="1"/>
        <v>0.48</v>
      </c>
      <c r="G26" s="86">
        <f>_xlfn.LOGNORM.DIST(C26,Dataset!B$62,Dataset!B$63,TRUE)</f>
        <v>0.48818450998656104</v>
      </c>
      <c r="H26" s="86">
        <f t="shared" si="2"/>
        <v>8.1845099865610615E-3</v>
      </c>
      <c r="I26" s="87">
        <f>EXP(-EXP(-(C26-Dataset!B$59)/Dataset!B$58))</f>
        <v>0.53743431979863754</v>
      </c>
      <c r="J26" s="86">
        <f t="shared" si="3"/>
        <v>5.7434319798637556E-2</v>
      </c>
    </row>
    <row r="27" spans="1:10" x14ac:dyDescent="0.3">
      <c r="A27" s="81">
        <v>1975</v>
      </c>
      <c r="B27" s="84">
        <v>1.98009531491424</v>
      </c>
      <c r="C27" s="84">
        <v>2.0192595795151198</v>
      </c>
      <c r="D27" s="85">
        <v>25</v>
      </c>
      <c r="E27" s="86">
        <f t="shared" si="0"/>
        <v>7.5002971609339055E-3</v>
      </c>
      <c r="F27" s="86">
        <f t="shared" si="1"/>
        <v>0.5</v>
      </c>
      <c r="G27" s="86">
        <f>_xlfn.LOGNORM.DIST(C27,Dataset!B$62,Dataset!B$63,TRUE)</f>
        <v>0.52268854345144888</v>
      </c>
      <c r="H27" s="86">
        <f t="shared" si="2"/>
        <v>2.2688543451448884E-2</v>
      </c>
      <c r="I27" s="87">
        <f>EXP(-EXP(-(C27-Dataset!B$59)/Dataset!B$58))</f>
        <v>0.57344513186927526</v>
      </c>
      <c r="J27" s="86">
        <f t="shared" si="3"/>
        <v>7.344513186927526E-2</v>
      </c>
    </row>
    <row r="28" spans="1:10" x14ac:dyDescent="0.3">
      <c r="A28" s="81">
        <v>1976</v>
      </c>
      <c r="B28" s="84">
        <v>1.8185225281217601</v>
      </c>
      <c r="C28" s="84">
        <v>2.0233203017841102</v>
      </c>
      <c r="D28" s="85">
        <v>26</v>
      </c>
      <c r="E28" s="86">
        <f t="shared" si="0"/>
        <v>2.7825472431651056E-2</v>
      </c>
      <c r="F28" s="86">
        <f t="shared" si="1"/>
        <v>0.52</v>
      </c>
      <c r="G28" s="86">
        <f>_xlfn.LOGNORM.DIST(C28,Dataset!B$62,Dataset!B$63,TRUE)</f>
        <v>0.53078437458166361</v>
      </c>
      <c r="H28" s="86">
        <f t="shared" si="2"/>
        <v>1.0784374581663592E-2</v>
      </c>
      <c r="I28" s="87">
        <f>EXP(-EXP(-(C28-Dataset!B$59)/Dataset!B$58))</f>
        <v>0.58170967894439696</v>
      </c>
      <c r="J28" s="86">
        <f t="shared" si="3"/>
        <v>6.170967894439694E-2</v>
      </c>
    </row>
    <row r="29" spans="1:10" x14ac:dyDescent="0.3">
      <c r="A29" s="81">
        <v>1977</v>
      </c>
      <c r="B29" s="84">
        <v>1.67856330319108</v>
      </c>
      <c r="C29" s="84">
        <v>2.0286893249909599</v>
      </c>
      <c r="D29" s="85">
        <v>27</v>
      </c>
      <c r="E29" s="86">
        <f t="shared" si="0"/>
        <v>5.469909994986636E-2</v>
      </c>
      <c r="F29" s="86">
        <f t="shared" si="1"/>
        <v>0.54</v>
      </c>
      <c r="G29" s="86">
        <f>_xlfn.LOGNORM.DIST(C29,Dataset!B$62,Dataset!B$63,TRUE)</f>
        <v>0.54144366858638748</v>
      </c>
      <c r="H29" s="86">
        <f t="shared" si="2"/>
        <v>1.4436685863874477E-3</v>
      </c>
      <c r="I29" s="87">
        <f>EXP(-EXP(-(C29-Dataset!B$59)/Dataset!B$58))</f>
        <v>0.59248600004077145</v>
      </c>
      <c r="J29" s="86">
        <f t="shared" si="3"/>
        <v>5.2486000040771419E-2</v>
      </c>
    </row>
    <row r="30" spans="1:10" x14ac:dyDescent="0.3">
      <c r="A30" s="81">
        <v>1978</v>
      </c>
      <c r="B30" s="84">
        <v>1.8463268224742899</v>
      </c>
      <c r="C30" s="84">
        <v>2.0364984492665599</v>
      </c>
      <c r="D30" s="85">
        <v>28</v>
      </c>
      <c r="E30" s="86">
        <f t="shared" si="0"/>
        <v>9.3786190644164505E-2</v>
      </c>
      <c r="F30" s="86">
        <f t="shared" si="1"/>
        <v>0.56000000000000005</v>
      </c>
      <c r="G30" s="86">
        <f>_xlfn.LOGNORM.DIST(C30,Dataset!B$62,Dataset!B$63,TRUE)</f>
        <v>0.55684233797533578</v>
      </c>
      <c r="H30" s="86">
        <f t="shared" si="2"/>
        <v>3.1576620246642761E-3</v>
      </c>
      <c r="I30" s="87">
        <f>EXP(-EXP(-(C30-Dataset!B$59)/Dataset!B$58))</f>
        <v>0.60784561186804198</v>
      </c>
      <c r="J30" s="86">
        <f t="shared" si="3"/>
        <v>4.7845611868041926E-2</v>
      </c>
    </row>
    <row r="31" spans="1:10" x14ac:dyDescent="0.3">
      <c r="A31" s="81">
        <v>1979</v>
      </c>
      <c r="B31" s="84">
        <v>2.15581802770458</v>
      </c>
      <c r="C31" s="84">
        <v>2.07517015225327</v>
      </c>
      <c r="D31" s="85">
        <v>29</v>
      </c>
      <c r="E31" s="86">
        <f t="shared" si="0"/>
        <v>0.28735006651529876</v>
      </c>
      <c r="F31" s="86">
        <f t="shared" si="1"/>
        <v>0.57999999999999996</v>
      </c>
      <c r="G31" s="86">
        <f>_xlfn.LOGNORM.DIST(C31,Dataset!B$62,Dataset!B$63,TRUE)</f>
        <v>0.6305903256611568</v>
      </c>
      <c r="H31" s="86">
        <f t="shared" si="2"/>
        <v>5.0590325661156843E-2</v>
      </c>
      <c r="I31" s="87">
        <f>EXP(-EXP(-(C31-Dataset!B$59)/Dataset!B$58))</f>
        <v>0.67814857137834184</v>
      </c>
      <c r="J31" s="86">
        <f t="shared" si="3"/>
        <v>9.8148571378341876E-2</v>
      </c>
    </row>
    <row r="32" spans="1:10" x14ac:dyDescent="0.3">
      <c r="A32" s="81">
        <v>1980</v>
      </c>
      <c r="B32" s="84">
        <v>1.6428353844155299</v>
      </c>
      <c r="C32" s="84">
        <v>2.0775191639683599</v>
      </c>
      <c r="D32" s="85">
        <v>30</v>
      </c>
      <c r="E32" s="86">
        <f t="shared" si="0"/>
        <v>0.29910759920517715</v>
      </c>
      <c r="F32" s="86">
        <f t="shared" si="1"/>
        <v>0.6</v>
      </c>
      <c r="G32" s="86">
        <f>_xlfn.LOGNORM.DIST(C32,Dataset!B$62,Dataset!B$63,TRUE)</f>
        <v>0.63490431066905417</v>
      </c>
      <c r="H32" s="86">
        <f t="shared" si="2"/>
        <v>3.4904310669054195E-2</v>
      </c>
      <c r="I32" s="87">
        <f>EXP(-EXP(-(C32-Dataset!B$59)/Dataset!B$58))</f>
        <v>0.68210208476259093</v>
      </c>
      <c r="J32" s="86">
        <f t="shared" si="3"/>
        <v>8.2102084762590954E-2</v>
      </c>
    </row>
    <row r="33" spans="1:21" x14ac:dyDescent="0.3">
      <c r="A33" s="81">
        <v>1981</v>
      </c>
      <c r="B33" s="84">
        <v>1.7707943580043499</v>
      </c>
      <c r="C33" s="84">
        <v>2.0834065378294402</v>
      </c>
      <c r="D33" s="85">
        <v>31</v>
      </c>
      <c r="E33" s="86">
        <f t="shared" si="0"/>
        <v>0.32857573262678352</v>
      </c>
      <c r="F33" s="86">
        <f t="shared" si="1"/>
        <v>0.62</v>
      </c>
      <c r="G33" s="86">
        <f>_xlfn.LOGNORM.DIST(C33,Dataset!B$62,Dataset!B$63,TRUE)</f>
        <v>0.64561958375700412</v>
      </c>
      <c r="H33" s="86">
        <f t="shared" si="2"/>
        <v>2.5619583757004127E-2</v>
      </c>
      <c r="I33" s="87">
        <f>EXP(-EXP(-(C33-Dataset!B$59)/Dataset!B$58))</f>
        <v>0.69184987675182841</v>
      </c>
      <c r="J33" s="86">
        <f t="shared" si="3"/>
        <v>7.1849876751828412E-2</v>
      </c>
    </row>
    <row r="34" spans="1:21" x14ac:dyDescent="0.3">
      <c r="A34" s="81">
        <v>1982</v>
      </c>
      <c r="B34" s="84">
        <v>2.2996180619589501</v>
      </c>
      <c r="C34" s="84">
        <v>2.08685789576485</v>
      </c>
      <c r="D34" s="85">
        <v>32</v>
      </c>
      <c r="E34" s="86">
        <f t="shared" si="0"/>
        <v>0.34585085028131535</v>
      </c>
      <c r="F34" s="86">
        <f t="shared" si="1"/>
        <v>0.64</v>
      </c>
      <c r="G34" s="86">
        <f>_xlfn.LOGNORM.DIST(C34,Dataset!B$62,Dataset!B$63,TRUE)</f>
        <v>0.65183474990816914</v>
      </c>
      <c r="H34" s="86">
        <f t="shared" si="2"/>
        <v>1.1834749908169129E-2</v>
      </c>
      <c r="I34" s="87">
        <f>EXP(-EXP(-(C34-Dataset!B$59)/Dataset!B$58))</f>
        <v>0.69745739902348591</v>
      </c>
      <c r="J34" s="86">
        <f t="shared" si="3"/>
        <v>5.74573990234859E-2</v>
      </c>
    </row>
    <row r="35" spans="1:21" x14ac:dyDescent="0.3">
      <c r="A35" s="81">
        <v>1983</v>
      </c>
      <c r="B35" s="84">
        <v>2.2514944684874498</v>
      </c>
      <c r="C35" s="84">
        <v>2.1134134761411398</v>
      </c>
      <c r="D35" s="85">
        <v>33</v>
      </c>
      <c r="E35" s="86">
        <f t="shared" ref="E35:E52" si="4">(C35-B$54)/B$55</f>
        <v>0.47876977204197763</v>
      </c>
      <c r="F35" s="86">
        <f t="shared" si="1"/>
        <v>0.66</v>
      </c>
      <c r="G35" s="86">
        <f>_xlfn.LOGNORM.DIST(C35,Dataset!B$62,Dataset!B$63,TRUE)</f>
        <v>0.69787476786904468</v>
      </c>
      <c r="H35" s="86">
        <f t="shared" si="2"/>
        <v>3.7874767869044645E-2</v>
      </c>
      <c r="I35" s="87">
        <f>EXP(-EXP(-(C35-Dataset!B$59)/Dataset!B$58))</f>
        <v>0.73797991217164371</v>
      </c>
      <c r="J35" s="86">
        <f t="shared" si="3"/>
        <v>7.7979912171643684E-2</v>
      </c>
    </row>
    <row r="36" spans="1:21" x14ac:dyDescent="0.3">
      <c r="A36" s="81">
        <v>1984</v>
      </c>
      <c r="B36" s="84">
        <v>2.3267988328881</v>
      </c>
      <c r="C36" s="84">
        <v>2.1389468900956699</v>
      </c>
      <c r="D36" s="85">
        <v>34</v>
      </c>
      <c r="E36" s="86">
        <f t="shared" si="4"/>
        <v>0.60657243361494806</v>
      </c>
      <c r="F36" s="86">
        <f t="shared" si="1"/>
        <v>0.68</v>
      </c>
      <c r="G36" s="86">
        <f>_xlfn.LOGNORM.DIST(C36,Dataset!B$62,Dataset!B$63,TRUE)</f>
        <v>0.7388751596020714</v>
      </c>
      <c r="H36" s="86">
        <f t="shared" si="2"/>
        <v>5.8875159602071347E-2</v>
      </c>
      <c r="I36" s="87">
        <f>EXP(-EXP(-(C36-Dataset!B$59)/Dataset!B$58))</f>
        <v>0.77267082095565476</v>
      </c>
      <c r="J36" s="86">
        <f t="shared" si="3"/>
        <v>9.2670820955654709E-2</v>
      </c>
      <c r="U36" s="1"/>
    </row>
    <row r="37" spans="1:21" x14ac:dyDescent="0.3">
      <c r="A37" s="81">
        <v>1985</v>
      </c>
      <c r="B37" s="84">
        <v>1.8833022654709599</v>
      </c>
      <c r="C37" s="84">
        <v>2.14890861328352</v>
      </c>
      <c r="D37" s="85">
        <v>35</v>
      </c>
      <c r="E37" s="86">
        <f t="shared" si="4"/>
        <v>0.65643394996084781</v>
      </c>
      <c r="F37" s="86">
        <f t="shared" si="1"/>
        <v>0.7</v>
      </c>
      <c r="G37" s="86">
        <f>_xlfn.LOGNORM.DIST(C37,Dataset!B$62,Dataset!B$63,TRUE)</f>
        <v>0.75393451973701953</v>
      </c>
      <c r="H37" s="86">
        <f t="shared" si="2"/>
        <v>5.3934519737019571E-2</v>
      </c>
      <c r="I37" s="87">
        <f>EXP(-EXP(-(C37-Dataset!B$59)/Dataset!B$58))</f>
        <v>0.78511479411935936</v>
      </c>
      <c r="J37" s="86">
        <f t="shared" si="3"/>
        <v>8.5114794119359405E-2</v>
      </c>
    </row>
    <row r="38" spans="1:21" x14ac:dyDescent="0.3">
      <c r="A38" s="81">
        <v>1986</v>
      </c>
      <c r="B38" s="84">
        <v>2.4019457451615698</v>
      </c>
      <c r="C38" s="84">
        <v>2.1495772162753299</v>
      </c>
      <c r="D38" s="85">
        <v>36</v>
      </c>
      <c r="E38" s="86">
        <f t="shared" si="4"/>
        <v>0.65978051544719951</v>
      </c>
      <c r="F38" s="86">
        <f t="shared" si="1"/>
        <v>0.72</v>
      </c>
      <c r="G38" s="86">
        <f>_xlfn.LOGNORM.DIST(C38,Dataset!B$62,Dataset!B$63,TRUE)</f>
        <v>0.7549258523744834</v>
      </c>
      <c r="H38" s="86">
        <f t="shared" si="2"/>
        <v>3.4925852374483424E-2</v>
      </c>
      <c r="I38" s="87">
        <f>EXP(-EXP(-(C38-Dataset!B$59)/Dataset!B$58))</f>
        <v>0.78592872983451012</v>
      </c>
      <c r="J38" s="86">
        <f t="shared" si="3"/>
        <v>6.5928729834510147E-2</v>
      </c>
    </row>
    <row r="39" spans="1:21" x14ac:dyDescent="0.3">
      <c r="A39" s="81">
        <v>1987</v>
      </c>
      <c r="B39" s="84">
        <v>1.88765633193768</v>
      </c>
      <c r="C39" s="84">
        <v>2.1496027756404201</v>
      </c>
      <c r="D39" s="85">
        <v>37</v>
      </c>
      <c r="E39" s="86">
        <f t="shared" si="4"/>
        <v>0.65990844800226078</v>
      </c>
      <c r="F39" s="86">
        <f t="shared" si="1"/>
        <v>0.74</v>
      </c>
      <c r="G39" s="86">
        <f>_xlfn.LOGNORM.DIST(C39,Dataset!B$62,Dataset!B$63,TRUE)</f>
        <v>0.75496370026379944</v>
      </c>
      <c r="H39" s="86">
        <f t="shared" si="2"/>
        <v>1.4963700263799451E-2</v>
      </c>
      <c r="I39" s="87">
        <f>EXP(-EXP(-(C39-Dataset!B$59)/Dataset!B$58))</f>
        <v>0.78595979240622238</v>
      </c>
      <c r="J39" s="86">
        <f t="shared" si="3"/>
        <v>4.5959792406222388E-2</v>
      </c>
    </row>
    <row r="40" spans="1:21" x14ac:dyDescent="0.3">
      <c r="A40" s="81">
        <v>1988</v>
      </c>
      <c r="B40" s="84">
        <v>2.0286893249909599</v>
      </c>
      <c r="C40" s="84">
        <v>2.15581802770458</v>
      </c>
      <c r="D40" s="85">
        <v>38</v>
      </c>
      <c r="E40" s="86">
        <f t="shared" si="4"/>
        <v>0.69101771359287334</v>
      </c>
      <c r="F40" s="86">
        <f t="shared" si="1"/>
        <v>0.76</v>
      </c>
      <c r="G40" s="86">
        <f>_xlfn.LOGNORM.DIST(C40,Dataset!B$62,Dataset!B$63,TRUE)</f>
        <v>0.76406005962173151</v>
      </c>
      <c r="H40" s="86">
        <f t="shared" si="2"/>
        <v>4.0600596217315044E-3</v>
      </c>
      <c r="I40" s="87">
        <f>EXP(-EXP(-(C40-Dataset!B$59)/Dataset!B$58))</f>
        <v>0.79339907348164718</v>
      </c>
      <c r="J40" s="86">
        <f t="shared" si="3"/>
        <v>3.3399073481647168E-2</v>
      </c>
    </row>
    <row r="41" spans="1:21" x14ac:dyDescent="0.3">
      <c r="A41" s="81">
        <v>1989</v>
      </c>
      <c r="B41" s="84">
        <v>2.0192595795151198</v>
      </c>
      <c r="C41" s="84">
        <v>2.15609686626911</v>
      </c>
      <c r="D41" s="85">
        <v>39</v>
      </c>
      <c r="E41" s="86">
        <f t="shared" si="4"/>
        <v>0.69241338715065093</v>
      </c>
      <c r="F41" s="86">
        <f t="shared" si="1"/>
        <v>0.78</v>
      </c>
      <c r="G41" s="86">
        <f>_xlfn.LOGNORM.DIST(C41,Dataset!B$62,Dataset!B$63,TRUE)</f>
        <v>0.7644631383969851</v>
      </c>
      <c r="H41" s="86">
        <f t="shared" si="2"/>
        <v>1.5536861603014929E-2</v>
      </c>
      <c r="I41" s="87">
        <f>EXP(-EXP(-(C41-Dataset!B$59)/Dataset!B$58))</f>
        <v>0.79372752962322168</v>
      </c>
      <c r="J41" s="86">
        <f t="shared" si="3"/>
        <v>1.3727529623221657E-2</v>
      </c>
    </row>
    <row r="42" spans="1:21" x14ac:dyDescent="0.3">
      <c r="A42" s="81">
        <v>1990</v>
      </c>
      <c r="B42" s="84">
        <v>1.90082040943203</v>
      </c>
      <c r="C42" s="84">
        <v>2.1708122815596198</v>
      </c>
      <c r="D42" s="85">
        <v>40</v>
      </c>
      <c r="E42" s="86">
        <f t="shared" si="4"/>
        <v>0.76606860785979058</v>
      </c>
      <c r="F42" s="86">
        <f t="shared" si="1"/>
        <v>0.8</v>
      </c>
      <c r="G42" s="86">
        <f>_xlfn.LOGNORM.DIST(C42,Dataset!B$62,Dataset!B$63,TRUE)</f>
        <v>0.78511822911594864</v>
      </c>
      <c r="H42" s="86">
        <f t="shared" si="2"/>
        <v>1.4881770884051404E-2</v>
      </c>
      <c r="I42" s="87">
        <f>EXP(-EXP(-(C42-Dataset!B$59)/Dataset!B$58))</f>
        <v>0.81042981662419178</v>
      </c>
      <c r="J42" s="86">
        <f t="shared" si="3"/>
        <v>1.0429816624191734E-2</v>
      </c>
    </row>
    <row r="43" spans="1:21" x14ac:dyDescent="0.3">
      <c r="A43" s="81">
        <v>1991</v>
      </c>
      <c r="B43" s="84">
        <v>2.14890861328352</v>
      </c>
      <c r="C43" s="84">
        <v>2.1757552463510601</v>
      </c>
      <c r="D43" s="85">
        <v>41</v>
      </c>
      <c r="E43" s="86">
        <f t="shared" si="4"/>
        <v>0.79080968077438518</v>
      </c>
      <c r="F43" s="86">
        <f t="shared" si="1"/>
        <v>0.82</v>
      </c>
      <c r="G43" s="86">
        <f>_xlfn.LOGNORM.DIST(C43,Dataset!B$62,Dataset!B$63,TRUE)</f>
        <v>0.79178290024833631</v>
      </c>
      <c r="H43" s="86">
        <f t="shared" si="2"/>
        <v>2.8217099751663643E-2</v>
      </c>
      <c r="I43" s="87">
        <f>EXP(-EXP(-(C43-Dataset!B$59)/Dataset!B$58))</f>
        <v>0.81576788413823298</v>
      </c>
      <c r="J43" s="86">
        <f t="shared" si="3"/>
        <v>4.2321158617669719E-3</v>
      </c>
    </row>
    <row r="44" spans="1:21" x14ac:dyDescent="0.3">
      <c r="A44" s="81">
        <v>1992</v>
      </c>
      <c r="B44" s="84">
        <v>1.99923966135617</v>
      </c>
      <c r="C44" s="84">
        <v>2.1829068085122798</v>
      </c>
      <c r="D44" s="85">
        <v>42</v>
      </c>
      <c r="E44" s="86">
        <f t="shared" si="4"/>
        <v>0.82660546900059162</v>
      </c>
      <c r="F44" s="86">
        <f t="shared" si="1"/>
        <v>0.84</v>
      </c>
      <c r="G44" s="86">
        <f>_xlfn.LOGNORM.DIST(C44,Dataset!B$62,Dataset!B$63,TRUE)</f>
        <v>0.80118069291220539</v>
      </c>
      <c r="H44" s="86">
        <f t="shared" si="2"/>
        <v>3.8819307087794575E-2</v>
      </c>
      <c r="I44" s="87">
        <f>EXP(-EXP(-(C44-Dataset!B$59)/Dataset!B$58))</f>
        <v>0.82325591896260719</v>
      </c>
      <c r="J44" s="86">
        <f t="shared" si="3"/>
        <v>1.6744081037392777E-2</v>
      </c>
    </row>
    <row r="45" spans="1:21" x14ac:dyDescent="0.3">
      <c r="A45" s="81">
        <v>1993</v>
      </c>
      <c r="B45" s="84">
        <v>1.7700290896094599</v>
      </c>
      <c r="C45" s="84">
        <v>2.1897189128284</v>
      </c>
      <c r="D45" s="85">
        <v>43</v>
      </c>
      <c r="E45" s="86">
        <f t="shared" si="4"/>
        <v>0.86070216535554289</v>
      </c>
      <c r="F45" s="86">
        <f t="shared" si="1"/>
        <v>0.86</v>
      </c>
      <c r="G45" s="86">
        <f>_xlfn.LOGNORM.DIST(C45,Dataset!B$62,Dataset!B$63,TRUE)</f>
        <v>0.80986286612538461</v>
      </c>
      <c r="H45" s="86">
        <f t="shared" si="2"/>
        <v>5.0137133874615381E-2</v>
      </c>
      <c r="I45" s="87">
        <f>EXP(-EXP(-(C45-Dataset!B$59)/Dataset!B$58))</f>
        <v>0.83013562785775574</v>
      </c>
      <c r="J45" s="86">
        <f t="shared" si="3"/>
        <v>2.9864372142244244E-2</v>
      </c>
    </row>
    <row r="46" spans="1:21" x14ac:dyDescent="0.3">
      <c r="A46" s="81">
        <v>1994</v>
      </c>
      <c r="B46" s="84">
        <v>2.1389468900956699</v>
      </c>
      <c r="C46" s="84">
        <v>2.2514944684874498</v>
      </c>
      <c r="D46" s="85">
        <v>44</v>
      </c>
      <c r="E46" s="86">
        <f t="shared" si="4"/>
        <v>1.1699079945264999</v>
      </c>
      <c r="F46" s="86">
        <f t="shared" si="1"/>
        <v>0.88</v>
      </c>
      <c r="G46" s="86">
        <f>_xlfn.LOGNORM.DIST(C46,Dataset!B$62,Dataset!B$63,TRUE)</f>
        <v>0.87678346774266502</v>
      </c>
      <c r="H46" s="86">
        <f t="shared" si="2"/>
        <v>3.2165322573349808E-3</v>
      </c>
      <c r="I46" s="87">
        <f>EXP(-EXP(-(C46-Dataset!B$59)/Dataset!B$58))</f>
        <v>0.8823041315481176</v>
      </c>
      <c r="J46" s="86">
        <f t="shared" si="3"/>
        <v>2.3041315481175939E-3</v>
      </c>
    </row>
    <row r="47" spans="1:21" x14ac:dyDescent="0.3">
      <c r="A47" s="81">
        <v>1995</v>
      </c>
      <c r="B47" s="84">
        <v>2.1829068085122798</v>
      </c>
      <c r="C47" s="84">
        <v>2.29460216866776</v>
      </c>
      <c r="D47" s="85">
        <v>45</v>
      </c>
      <c r="E47" s="86">
        <f t="shared" si="4"/>
        <v>1.385675413138997</v>
      </c>
      <c r="F47" s="86">
        <f t="shared" si="1"/>
        <v>0.9</v>
      </c>
      <c r="G47" s="86">
        <f>_xlfn.LOGNORM.DIST(C47,Dataset!B$62,Dataset!B$63,TRUE)</f>
        <v>0.91166270354575296</v>
      </c>
      <c r="H47" s="86">
        <f t="shared" si="2"/>
        <v>1.1662703545752939E-2</v>
      </c>
      <c r="I47" s="87">
        <f>EXP(-EXP(-(C47-Dataset!B$59)/Dataset!B$58))</f>
        <v>0.90942086871538219</v>
      </c>
      <c r="J47" s="86">
        <f t="shared" si="3"/>
        <v>9.4208687153821691E-3</v>
      </c>
    </row>
    <row r="48" spans="1:21" x14ac:dyDescent="0.3">
      <c r="A48" s="81">
        <v>1996</v>
      </c>
      <c r="B48" s="84">
        <v>2.1495772162753299</v>
      </c>
      <c r="C48" s="84">
        <v>2.2996180619589501</v>
      </c>
      <c r="D48" s="85">
        <v>46</v>
      </c>
      <c r="E48" s="86">
        <f t="shared" si="4"/>
        <v>1.4107815158294432</v>
      </c>
      <c r="F48" s="86">
        <f t="shared" si="1"/>
        <v>0.92</v>
      </c>
      <c r="G48" s="86">
        <f>_xlfn.LOGNORM.DIST(C48,Dataset!B$62,Dataset!B$63,TRUE)</f>
        <v>0.9151505501301872</v>
      </c>
      <c r="H48" s="86">
        <f t="shared" si="2"/>
        <v>4.8494498698128385E-3</v>
      </c>
      <c r="I48" s="87">
        <f>EXP(-EXP(-(C48-Dataset!B$59)/Dataset!B$58))</f>
        <v>0.91216111592287663</v>
      </c>
      <c r="J48" s="86">
        <f t="shared" si="3"/>
        <v>7.8388840771234092E-3</v>
      </c>
    </row>
    <row r="49" spans="1:13" x14ac:dyDescent="0.3">
      <c r="A49" s="81">
        <v>1997</v>
      </c>
      <c r="B49" s="84">
        <v>1.96469613742732</v>
      </c>
      <c r="C49" s="84">
        <v>2.3267988328881</v>
      </c>
      <c r="D49" s="85">
        <v>47</v>
      </c>
      <c r="E49" s="86">
        <f t="shared" si="4"/>
        <v>1.546829710345722</v>
      </c>
      <c r="F49" s="86">
        <f t="shared" si="1"/>
        <v>0.94</v>
      </c>
      <c r="G49" s="86">
        <f>_xlfn.LOGNORM.DIST(C49,Dataset!B$62,Dataset!B$63,TRUE)</f>
        <v>0.93216814834509931</v>
      </c>
      <c r="H49" s="86">
        <f t="shared" si="2"/>
        <v>7.8318516549006345E-3</v>
      </c>
      <c r="I49" s="87">
        <f>EXP(-EXP(-(C49-Dataset!B$59)/Dataset!B$58))</f>
        <v>0.92568826414088146</v>
      </c>
      <c r="J49" s="86">
        <f t="shared" si="3"/>
        <v>1.4311735859118491E-2</v>
      </c>
    </row>
    <row r="50" spans="1:13" x14ac:dyDescent="0.3">
      <c r="A50" s="81">
        <v>1998</v>
      </c>
      <c r="B50" s="84">
        <v>1.73647191172751</v>
      </c>
      <c r="C50" s="84">
        <v>2.3432889753794801</v>
      </c>
      <c r="D50" s="85">
        <v>48</v>
      </c>
      <c r="E50" s="86">
        <f t="shared" si="4"/>
        <v>1.6293679915120765</v>
      </c>
      <c r="F50" s="86">
        <f t="shared" si="1"/>
        <v>0.96</v>
      </c>
      <c r="G50" s="86">
        <f>_xlfn.LOGNORM.DIST(C50,Dataset!B$62,Dataset!B$63,TRUE)</f>
        <v>0.9410480985724029</v>
      </c>
      <c r="H50" s="86">
        <f t="shared" si="2"/>
        <v>1.8951901427597062E-2</v>
      </c>
      <c r="I50" s="87">
        <f>EXP(-EXP(-(C50-Dataset!B$59)/Dataset!B$58))</f>
        <v>0.93289636572685242</v>
      </c>
      <c r="J50" s="86">
        <f t="shared" si="3"/>
        <v>2.7103634273147548E-2</v>
      </c>
    </row>
    <row r="51" spans="1:13" x14ac:dyDescent="0.3">
      <c r="A51" s="81">
        <v>1999</v>
      </c>
      <c r="B51" s="84">
        <v>2.08685789576485</v>
      </c>
      <c r="C51" s="84">
        <v>2.4019457451615698</v>
      </c>
      <c r="D51" s="85">
        <v>49</v>
      </c>
      <c r="E51" s="86">
        <f t="shared" si="4"/>
        <v>1.9229633294004536</v>
      </c>
      <c r="F51" s="86">
        <f t="shared" si="1"/>
        <v>0.98</v>
      </c>
      <c r="G51" s="86">
        <f>_xlfn.LOGNORM.DIST(C51,Dataset!B$62,Dataset!B$63,TRUE)</f>
        <v>0.96515653064255491</v>
      </c>
      <c r="H51" s="86">
        <f t="shared" si="2"/>
        <v>1.4843469357445072E-2</v>
      </c>
      <c r="I51" s="87">
        <f>EXP(-EXP(-(C51-Dataset!B$59)/Dataset!B$58))</f>
        <v>0.95345258665068577</v>
      </c>
      <c r="J51" s="86">
        <f t="shared" si="3"/>
        <v>2.6547413349314208E-2</v>
      </c>
    </row>
    <row r="52" spans="1:13" x14ac:dyDescent="0.3">
      <c r="A52" s="81">
        <v>2000</v>
      </c>
      <c r="B52" s="84">
        <v>2.07517015225327</v>
      </c>
      <c r="C52" s="84">
        <v>2.4360343891969798</v>
      </c>
      <c r="D52" s="85">
        <v>50</v>
      </c>
      <c r="E52" s="86">
        <f t="shared" si="4"/>
        <v>2.0935875727898114</v>
      </c>
      <c r="F52" s="86">
        <f t="shared" si="1"/>
        <v>1</v>
      </c>
      <c r="G52" s="86">
        <f>_xlfn.LOGNORM.DIST(C52,Dataset!B$62,Dataset!B$63,TRUE)</f>
        <v>0.9748035538343599</v>
      </c>
      <c r="H52" s="86">
        <f t="shared" si="2"/>
        <v>2.5196446165640096E-2</v>
      </c>
      <c r="I52" s="87">
        <f>EXP(-EXP(-(C52-Dataset!B$59)/Dataset!B$58))</f>
        <v>0.96242707544144357</v>
      </c>
      <c r="J52" s="86">
        <f t="shared" si="3"/>
        <v>3.7572924558556431E-2</v>
      </c>
    </row>
    <row r="53" spans="1:13" x14ac:dyDescent="0.3">
      <c r="A53" s="32"/>
      <c r="B53" s="4"/>
      <c r="C53" s="4"/>
      <c r="D53" s="5"/>
      <c r="E53" s="3"/>
      <c r="F53" s="3"/>
      <c r="G53" s="3"/>
      <c r="H53" s="3"/>
      <c r="I53" s="6"/>
      <c r="J53" s="3"/>
    </row>
    <row r="54" spans="1:13" x14ac:dyDescent="0.3">
      <c r="A54" s="81" t="s">
        <v>12</v>
      </c>
      <c r="B54" s="53">
        <f>AVERAGE(C3:C52)</f>
        <v>2.0177611115658998</v>
      </c>
      <c r="C54" s="80" t="s">
        <v>14</v>
      </c>
      <c r="D54" s="53">
        <v>50</v>
      </c>
      <c r="G54" s="91" t="s">
        <v>25</v>
      </c>
      <c r="H54" s="91">
        <f>MAX(H3:H52)</f>
        <v>6.2110040579196613E-2</v>
      </c>
      <c r="I54" s="91" t="s">
        <v>25</v>
      </c>
      <c r="J54" s="91">
        <f>MAX(J3:J52)</f>
        <v>0.10208903256565843</v>
      </c>
    </row>
    <row r="55" spans="1:13" x14ac:dyDescent="0.3">
      <c r="A55" s="81" t="s">
        <v>13</v>
      </c>
      <c r="B55" s="53">
        <f>_xlfn.STDEV.S(C3:C52)</f>
        <v>0.19978781067835136</v>
      </c>
      <c r="C55" s="80" t="s">
        <v>15</v>
      </c>
      <c r="D55" s="53">
        <v>50</v>
      </c>
      <c r="G55" s="91" t="s">
        <v>23</v>
      </c>
      <c r="H55" s="91">
        <v>0.05</v>
      </c>
      <c r="I55" s="91" t="s">
        <v>23</v>
      </c>
      <c r="J55" s="91">
        <v>0.05</v>
      </c>
    </row>
    <row r="56" spans="1:13" x14ac:dyDescent="0.3">
      <c r="G56" s="91" t="s">
        <v>26</v>
      </c>
      <c r="H56" s="91">
        <v>0.19</v>
      </c>
      <c r="I56" s="91" t="s">
        <v>26</v>
      </c>
      <c r="J56" s="91">
        <v>0.19</v>
      </c>
    </row>
    <row r="57" spans="1:13" x14ac:dyDescent="0.3">
      <c r="A57" s="32"/>
      <c r="G57" s="139" t="s">
        <v>32</v>
      </c>
      <c r="H57" s="139"/>
      <c r="I57" s="139"/>
      <c r="J57" s="139"/>
    </row>
    <row r="58" spans="1:13" x14ac:dyDescent="0.3">
      <c r="A58" s="137" t="s">
        <v>28</v>
      </c>
      <c r="B58" s="137"/>
      <c r="C58" s="137"/>
      <c r="D58" s="137"/>
      <c r="E58" s="137"/>
      <c r="F58" s="137"/>
      <c r="G58" s="137"/>
      <c r="I58" s="6"/>
      <c r="J58" s="3"/>
    </row>
    <row r="59" spans="1:13" x14ac:dyDescent="0.3">
      <c r="A59" s="138" t="s">
        <v>36</v>
      </c>
      <c r="B59" s="138"/>
      <c r="C59" s="138"/>
      <c r="E59" s="140" t="s">
        <v>37</v>
      </c>
      <c r="F59" s="140"/>
      <c r="G59" s="140"/>
      <c r="I59" s="6"/>
      <c r="J59" s="3"/>
    </row>
    <row r="60" spans="1:13" x14ac:dyDescent="0.3">
      <c r="A60" s="88" t="s">
        <v>29</v>
      </c>
      <c r="B60" s="53"/>
      <c r="C60" s="53" cm="1">
        <f t="array" ref="C60">-(SUM(LN(B3:B52)))-((50/2)*LN(Dataset!B63^2))-((50/2)*LN(2*PI()))-((1/(2*Dataset!B63^2))*SUM((LN(B3:B52)-Dataset!B62)^2))</f>
        <v>9.9530069429260202</v>
      </c>
      <c r="E60" s="53" t="s">
        <v>29</v>
      </c>
      <c r="F60" s="53"/>
      <c r="G60" s="53" cm="1">
        <f t="array" ref="G60">-50*LN(Dataset!B58) + 50*Dataset!B$59/Dataset!B$58 - SUM((B3:B52)/Dataset!B58) -(EXP(Dataset!B59/Dataset!B58)*SUM(EXP(-(B3:B52)/Dataset!B58)))</f>
        <v>6.0432892444939483</v>
      </c>
      <c r="I60" s="6"/>
      <c r="J60" s="3"/>
    </row>
    <row r="61" spans="1:13" x14ac:dyDescent="0.3">
      <c r="A61" s="90"/>
      <c r="B61" s="53"/>
      <c r="C61" s="53"/>
      <c r="E61" s="53"/>
      <c r="F61" s="53"/>
      <c r="G61" s="53"/>
      <c r="H61" s="3"/>
      <c r="I61" s="6"/>
      <c r="J61" s="3"/>
    </row>
    <row r="62" spans="1:13" x14ac:dyDescent="0.3">
      <c r="A62" s="90" t="s">
        <v>30</v>
      </c>
      <c r="B62" s="53"/>
      <c r="C62" s="53">
        <f>-2*C60+2*2</f>
        <v>-15.90601388585204</v>
      </c>
      <c r="E62" s="53" t="s">
        <v>30</v>
      </c>
      <c r="F62" s="53"/>
      <c r="G62" s="53">
        <f>-2*G60+2*2</f>
        <v>-8.0865784889878967</v>
      </c>
    </row>
    <row r="63" spans="1:13" x14ac:dyDescent="0.3">
      <c r="A63" s="90" t="s">
        <v>31</v>
      </c>
      <c r="B63" s="53"/>
      <c r="C63" s="53">
        <f>-2*C60+2*LN(50)</f>
        <v>-12.081967874995748</v>
      </c>
      <c r="E63" s="53" t="s">
        <v>31</v>
      </c>
      <c r="F63" s="53"/>
      <c r="G63" s="53">
        <f>-2*G60+2*LN(50)</f>
        <v>-4.2625324781316047</v>
      </c>
      <c r="M63" s="1"/>
    </row>
    <row r="64" spans="1:13" x14ac:dyDescent="0.3">
      <c r="A64" s="35"/>
      <c r="B64" s="11"/>
      <c r="C64" s="11"/>
      <c r="E64" s="20" t="s">
        <v>38</v>
      </c>
      <c r="F64" s="11"/>
      <c r="G64" s="11"/>
      <c r="M64" s="1"/>
    </row>
    <row r="65" spans="1:34" x14ac:dyDescent="0.3">
      <c r="M65" s="1"/>
    </row>
    <row r="66" spans="1:34" s="18" customFormat="1" x14ac:dyDescent="0.3">
      <c r="A66" s="136" t="s">
        <v>39</v>
      </c>
      <c r="B66" s="136"/>
      <c r="C66" s="136"/>
      <c r="D66" s="136"/>
      <c r="E66" s="136"/>
      <c r="F66" s="136"/>
      <c r="G66" s="136"/>
      <c r="H66" s="136"/>
      <c r="I66" s="136"/>
      <c r="J66" s="13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57.6" x14ac:dyDescent="0.3">
      <c r="A67" s="81" t="s">
        <v>49</v>
      </c>
      <c r="B67" s="80" t="s">
        <v>27</v>
      </c>
      <c r="C67" s="80" t="s">
        <v>11</v>
      </c>
      <c r="D67" s="82" t="s">
        <v>16</v>
      </c>
      <c r="E67" s="83" t="s">
        <v>17</v>
      </c>
      <c r="F67" s="83" t="s">
        <v>18</v>
      </c>
      <c r="G67" s="82" t="s">
        <v>19</v>
      </c>
      <c r="H67" s="82" t="s">
        <v>20</v>
      </c>
      <c r="I67" s="82" t="s">
        <v>21</v>
      </c>
      <c r="J67" s="82" t="s">
        <v>22</v>
      </c>
      <c r="X67" s="19"/>
    </row>
    <row r="68" spans="1:34" x14ac:dyDescent="0.3">
      <c r="A68" s="81">
        <v>1951</v>
      </c>
      <c r="B68" s="88" cm="1">
        <f t="array" ref="B68:B117">Dataset!C2:C51</f>
        <v>3.1559181479578</v>
      </c>
      <c r="C68" s="53">
        <v>2.6438071874968001</v>
      </c>
      <c r="D68" s="53">
        <v>1</v>
      </c>
      <c r="E68" s="86">
        <f t="shared" ref="E68:E99" si="5">(C68-B$119)/B$120</f>
        <v>-2.3864867519752568</v>
      </c>
      <c r="F68" s="86">
        <f>D68/50</f>
        <v>0.02</v>
      </c>
      <c r="G68" s="86">
        <f>_xlfn.LOGNORM.DIST(C68,Dataset!C$62,Dataset!C$63,TRUE)</f>
        <v>3.4227853583003284E-3</v>
      </c>
      <c r="H68" s="86">
        <f>ABS(G68-F68)</f>
        <v>1.6577214641699672E-2</v>
      </c>
      <c r="I68" s="87">
        <f>EXP(-EXP(-(C68-Dataset!C$59)/Dataset!C$58))</f>
        <v>6.2375447674162399E-6</v>
      </c>
      <c r="J68" s="86">
        <f>ABS(I68-F68)</f>
        <v>1.9993762455232583E-2</v>
      </c>
    </row>
    <row r="69" spans="1:34" x14ac:dyDescent="0.3">
      <c r="A69" s="81">
        <v>1952</v>
      </c>
      <c r="B69" s="88">
        <v>3.75162697553559</v>
      </c>
      <c r="C69" s="53">
        <v>2.7210305888110899</v>
      </c>
      <c r="D69" s="53">
        <v>2</v>
      </c>
      <c r="E69" s="86">
        <f t="shared" si="5"/>
        <v>-2.1792942966066073</v>
      </c>
      <c r="F69" s="86">
        <f t="shared" ref="F69:F117" si="6">D69/50</f>
        <v>0.04</v>
      </c>
      <c r="G69" s="86">
        <f>_xlfn.LOGNORM.DIST(C69,Dataset!C$62,Dataset!C$63,TRUE)</f>
        <v>7.5374382704686896E-3</v>
      </c>
      <c r="H69" s="86">
        <f t="shared" ref="H69:H117" si="7">ABS(G69-F69)</f>
        <v>3.2462561729531311E-2</v>
      </c>
      <c r="I69" s="87">
        <f>EXP(-EXP(-(C69-Dataset!C$59)/Dataset!C$58))</f>
        <v>1.0224859878390617E-4</v>
      </c>
      <c r="J69" s="86">
        <f t="shared" ref="J69:J117" si="8">ABS(I69-F69)</f>
        <v>3.9897751401216097E-2</v>
      </c>
    </row>
    <row r="70" spans="1:34" x14ac:dyDescent="0.3">
      <c r="A70" s="81">
        <v>1953</v>
      </c>
      <c r="B70" s="88">
        <v>3.6070170423530801</v>
      </c>
      <c r="C70" s="53">
        <v>2.8914284823616101</v>
      </c>
      <c r="D70" s="53">
        <v>3</v>
      </c>
      <c r="E70" s="86">
        <f t="shared" si="5"/>
        <v>-1.7221121814250921</v>
      </c>
      <c r="F70" s="86">
        <f t="shared" si="6"/>
        <v>0.06</v>
      </c>
      <c r="G70" s="86">
        <f>_xlfn.LOGNORM.DIST(C70,Dataset!C$62,Dataset!C$63,TRUE)</f>
        <v>3.1928978708310275E-2</v>
      </c>
      <c r="H70" s="86">
        <f t="shared" si="7"/>
        <v>2.8071021291689723E-2</v>
      </c>
      <c r="I70" s="87">
        <f>EXP(-EXP(-(C70-Dataset!C$59)/Dataset!C$58))</f>
        <v>6.0256171355751982E-3</v>
      </c>
      <c r="J70" s="86">
        <f t="shared" si="8"/>
        <v>5.3974382864424797E-2</v>
      </c>
    </row>
    <row r="71" spans="1:34" x14ac:dyDescent="0.3">
      <c r="A71" s="81">
        <v>1954</v>
      </c>
      <c r="B71" s="88">
        <v>3.4468615897553398</v>
      </c>
      <c r="C71" s="53">
        <v>2.9821143377443202</v>
      </c>
      <c r="D71" s="53">
        <v>4</v>
      </c>
      <c r="E71" s="86">
        <f t="shared" si="5"/>
        <v>-1.4787996009874693</v>
      </c>
      <c r="F71" s="86">
        <f t="shared" si="6"/>
        <v>0.08</v>
      </c>
      <c r="G71" s="86">
        <f>_xlfn.LOGNORM.DIST(C71,Dataset!C$62,Dataset!C$63,TRUE)</f>
        <v>5.9427044843535552E-2</v>
      </c>
      <c r="H71" s="86">
        <f t="shared" si="7"/>
        <v>2.0572955156464449E-2</v>
      </c>
      <c r="I71" s="87">
        <f>EXP(-EXP(-(C71-Dataset!C$59)/Dataset!C$58))</f>
        <v>2.3719777749099107E-2</v>
      </c>
      <c r="J71" s="86">
        <f t="shared" si="8"/>
        <v>5.6280222250900895E-2</v>
      </c>
    </row>
    <row r="72" spans="1:34" x14ac:dyDescent="0.3">
      <c r="A72" s="81">
        <v>1955</v>
      </c>
      <c r="B72" s="88">
        <v>3.9200771302152502</v>
      </c>
      <c r="C72" s="53">
        <v>3.1559181479578</v>
      </c>
      <c r="D72" s="53">
        <v>5</v>
      </c>
      <c r="E72" s="86">
        <f t="shared" si="5"/>
        <v>-1.0124793201182298</v>
      </c>
      <c r="F72" s="86">
        <f t="shared" si="6"/>
        <v>0.1</v>
      </c>
      <c r="G72" s="86">
        <f>_xlfn.LOGNORM.DIST(C72,Dataset!C$62,Dataset!C$63,TRUE)</f>
        <v>0.1536021529795045</v>
      </c>
      <c r="H72" s="86">
        <f t="shared" si="7"/>
        <v>5.3602152979504492E-2</v>
      </c>
      <c r="I72" s="87">
        <f>EXP(-EXP(-(C72-Dataset!C$59)/Dataset!C$58))</f>
        <v>0.12780204142292087</v>
      </c>
      <c r="J72" s="86">
        <f t="shared" si="8"/>
        <v>2.7802041422920865E-2</v>
      </c>
    </row>
    <row r="73" spans="1:34" x14ac:dyDescent="0.3">
      <c r="A73" s="81">
        <v>1956</v>
      </c>
      <c r="B73" s="88">
        <v>4.1371279389425997</v>
      </c>
      <c r="C73" s="53">
        <v>3.2133768979232502</v>
      </c>
      <c r="D73" s="53">
        <v>6</v>
      </c>
      <c r="E73" s="86">
        <f t="shared" si="5"/>
        <v>-0.85831595402531513</v>
      </c>
      <c r="F73" s="86">
        <f t="shared" si="6"/>
        <v>0.12</v>
      </c>
      <c r="G73" s="86">
        <f>_xlfn.LOGNORM.DIST(C73,Dataset!C$62,Dataset!C$63,TRUE)</f>
        <v>0.19777745698129079</v>
      </c>
      <c r="H73" s="86">
        <f t="shared" si="7"/>
        <v>7.7777456981290793E-2</v>
      </c>
      <c r="I73" s="87">
        <f>EXP(-EXP(-(C73-Dataset!C$59)/Dataset!C$58))</f>
        <v>0.18485440161409356</v>
      </c>
      <c r="J73" s="86">
        <f t="shared" si="8"/>
        <v>6.485440161409356E-2</v>
      </c>
    </row>
    <row r="74" spans="1:34" x14ac:dyDescent="0.3">
      <c r="A74" s="81">
        <v>1957</v>
      </c>
      <c r="B74" s="88">
        <v>2.9821143377443202</v>
      </c>
      <c r="C74" s="53">
        <v>3.2369964848875701</v>
      </c>
      <c r="D74" s="53">
        <v>7</v>
      </c>
      <c r="E74" s="86">
        <f t="shared" si="5"/>
        <v>-0.79494396917821408</v>
      </c>
      <c r="F74" s="86">
        <f t="shared" si="6"/>
        <v>0.14000000000000001</v>
      </c>
      <c r="G74" s="86">
        <f>_xlfn.LOGNORM.DIST(C74,Dataset!C$62,Dataset!C$63,TRUE)</f>
        <v>0.21770483222999484</v>
      </c>
      <c r="H74" s="86">
        <f t="shared" si="7"/>
        <v>7.770483222999483E-2</v>
      </c>
      <c r="I74" s="87">
        <f>EXP(-EXP(-(C74-Dataset!C$59)/Dataset!C$58))</f>
        <v>0.21089385100983801</v>
      </c>
      <c r="J74" s="86">
        <f t="shared" si="8"/>
        <v>7.0893851009837999E-2</v>
      </c>
      <c r="S74" s="1"/>
    </row>
    <row r="75" spans="1:34" x14ac:dyDescent="0.3">
      <c r="A75" s="81">
        <v>1958</v>
      </c>
      <c r="B75" s="88">
        <v>3.2133768979232502</v>
      </c>
      <c r="C75" s="53">
        <v>3.2603095979960499</v>
      </c>
      <c r="D75" s="53">
        <v>8</v>
      </c>
      <c r="E75" s="86">
        <f t="shared" si="5"/>
        <v>-0.73239426190005052</v>
      </c>
      <c r="F75" s="86">
        <f t="shared" si="6"/>
        <v>0.16</v>
      </c>
      <c r="G75" s="86">
        <f>_xlfn.LOGNORM.DIST(C75,Dataset!C$62,Dataset!C$63,TRUE)</f>
        <v>0.23831005752595405</v>
      </c>
      <c r="H75" s="86">
        <f t="shared" si="7"/>
        <v>7.8310057525954047E-2</v>
      </c>
      <c r="I75" s="87">
        <f>EXP(-EXP(-(C75-Dataset!C$59)/Dataset!C$58))</f>
        <v>0.23777848619515904</v>
      </c>
      <c r="J75" s="86">
        <f t="shared" si="8"/>
        <v>7.7778486195159036E-2</v>
      </c>
    </row>
    <row r="76" spans="1:34" x14ac:dyDescent="0.3">
      <c r="A76" s="81">
        <v>1959</v>
      </c>
      <c r="B76" s="88">
        <v>3.71069253095725</v>
      </c>
      <c r="C76" s="53">
        <v>3.2612565349881799</v>
      </c>
      <c r="D76" s="53">
        <v>9</v>
      </c>
      <c r="E76" s="86">
        <f t="shared" si="5"/>
        <v>-0.72985360457157678</v>
      </c>
      <c r="F76" s="86">
        <f t="shared" si="6"/>
        <v>0.18</v>
      </c>
      <c r="G76" s="86">
        <f>_xlfn.LOGNORM.DIST(C76,Dataset!C$62,Dataset!C$63,TRUE)</f>
        <v>0.23916578891661472</v>
      </c>
      <c r="H76" s="86">
        <f t="shared" si="7"/>
        <v>5.9165788916614726E-2</v>
      </c>
      <c r="I76" s="87">
        <f>EXP(-EXP(-(C76-Dataset!C$59)/Dataset!C$58))</f>
        <v>0.23889224077862781</v>
      </c>
      <c r="J76" s="86">
        <f t="shared" si="8"/>
        <v>5.8892240778627813E-2</v>
      </c>
    </row>
    <row r="77" spans="1:34" x14ac:dyDescent="0.3">
      <c r="A77" s="81">
        <v>1960</v>
      </c>
      <c r="B77" s="88">
        <v>3.3714543506883698</v>
      </c>
      <c r="C77" s="53">
        <v>3.26975047882283</v>
      </c>
      <c r="D77" s="53">
        <v>10</v>
      </c>
      <c r="E77" s="86">
        <f t="shared" si="5"/>
        <v>-0.70706412561943832</v>
      </c>
      <c r="F77" s="86">
        <f t="shared" si="6"/>
        <v>0.2</v>
      </c>
      <c r="G77" s="86">
        <f>_xlfn.LOGNORM.DIST(C77,Dataset!C$62,Dataset!C$63,TRUE)</f>
        <v>0.24690490135298498</v>
      </c>
      <c r="H77" s="86">
        <f t="shared" si="7"/>
        <v>4.6904901352984973E-2</v>
      </c>
      <c r="I77" s="87">
        <f>EXP(-EXP(-(C77-Dataset!C$59)/Dataset!C$58))</f>
        <v>0.24895088337543592</v>
      </c>
      <c r="J77" s="86">
        <f t="shared" si="8"/>
        <v>4.8950883375435905E-2</v>
      </c>
    </row>
    <row r="78" spans="1:34" x14ac:dyDescent="0.3">
      <c r="A78" s="81">
        <v>1961</v>
      </c>
      <c r="B78" s="88">
        <v>3.7160162873203699</v>
      </c>
      <c r="C78" s="53">
        <v>3.2765221754642</v>
      </c>
      <c r="D78" s="53">
        <v>11</v>
      </c>
      <c r="E78" s="86">
        <f t="shared" si="5"/>
        <v>-0.68889548204432727</v>
      </c>
      <c r="F78" s="86">
        <f t="shared" si="6"/>
        <v>0.22</v>
      </c>
      <c r="G78" s="86">
        <f>_xlfn.LOGNORM.DIST(C78,Dataset!C$62,Dataset!C$63,TRUE)</f>
        <v>0.25315483743820499</v>
      </c>
      <c r="H78" s="86">
        <f t="shared" si="7"/>
        <v>3.3154837438204993E-2</v>
      </c>
      <c r="I78" s="87">
        <f>EXP(-EXP(-(C78-Dataset!C$59)/Dataset!C$58))</f>
        <v>0.2570532711804549</v>
      </c>
      <c r="J78" s="86">
        <f t="shared" si="8"/>
        <v>3.70532711804549E-2</v>
      </c>
    </row>
    <row r="79" spans="1:34" x14ac:dyDescent="0.3">
      <c r="A79" s="81">
        <v>1962</v>
      </c>
      <c r="B79" s="88">
        <v>3.34829406239907</v>
      </c>
      <c r="C79" s="53">
        <v>3.2775176373691801</v>
      </c>
      <c r="D79" s="53">
        <v>12</v>
      </c>
      <c r="E79" s="86">
        <f t="shared" si="5"/>
        <v>-0.68622463107417431</v>
      </c>
      <c r="F79" s="86">
        <f t="shared" si="6"/>
        <v>0.24</v>
      </c>
      <c r="G79" s="86">
        <f>_xlfn.LOGNORM.DIST(C79,Dataset!C$62,Dataset!C$63,TRUE)</f>
        <v>0.25407946504177736</v>
      </c>
      <c r="H79" s="86">
        <f t="shared" si="7"/>
        <v>1.4079465041777373E-2</v>
      </c>
      <c r="I79" s="87">
        <f>EXP(-EXP(-(C79-Dataset!C$59)/Dataset!C$58))</f>
        <v>0.25825020995664577</v>
      </c>
      <c r="J79" s="86">
        <f t="shared" si="8"/>
        <v>1.825020995664578E-2</v>
      </c>
    </row>
    <row r="80" spans="1:34" x14ac:dyDescent="0.3">
      <c r="A80" s="81">
        <v>1963</v>
      </c>
      <c r="B80" s="88">
        <v>3.94071985435632</v>
      </c>
      <c r="C80" s="53">
        <v>3.2853039509107398</v>
      </c>
      <c r="D80" s="53">
        <v>13</v>
      </c>
      <c r="E80" s="86">
        <f t="shared" si="5"/>
        <v>-0.66533374316339555</v>
      </c>
      <c r="F80" s="86">
        <f t="shared" si="6"/>
        <v>0.26</v>
      </c>
      <c r="G80" s="86">
        <f>_xlfn.LOGNORM.DIST(C80,Dataset!C$62,Dataset!C$63,TRUE)</f>
        <v>0.26136256791868168</v>
      </c>
      <c r="H80" s="86">
        <f t="shared" si="7"/>
        <v>1.3625679186816675E-3</v>
      </c>
      <c r="I80" s="87">
        <f>EXP(-EXP(-(C80-Dataset!C$59)/Dataset!C$58))</f>
        <v>0.26766116588290917</v>
      </c>
      <c r="J80" s="86">
        <f t="shared" si="8"/>
        <v>7.66116588290916E-3</v>
      </c>
    </row>
    <row r="81" spans="1:10" x14ac:dyDescent="0.3">
      <c r="A81" s="81">
        <v>1964</v>
      </c>
      <c r="B81" s="88">
        <v>3.8359233790742699</v>
      </c>
      <c r="C81" s="53">
        <v>3.3340074767269399</v>
      </c>
      <c r="D81" s="53">
        <v>14</v>
      </c>
      <c r="E81" s="86">
        <f t="shared" si="5"/>
        <v>-0.53466087810919072</v>
      </c>
      <c r="F81" s="86">
        <f t="shared" si="6"/>
        <v>0.28000000000000003</v>
      </c>
      <c r="G81" s="86">
        <f>_xlfn.LOGNORM.DIST(C81,Dataset!C$62,Dataset!C$63,TRUE)</f>
        <v>0.30879853293764803</v>
      </c>
      <c r="H81" s="86">
        <f t="shared" si="7"/>
        <v>2.8798532937648003E-2</v>
      </c>
      <c r="I81" s="87">
        <f>EXP(-EXP(-(C81-Dataset!C$59)/Dataset!C$58))</f>
        <v>0.32802915272437244</v>
      </c>
      <c r="J81" s="86">
        <f t="shared" si="8"/>
        <v>4.8029152724372415E-2</v>
      </c>
    </row>
    <row r="82" spans="1:10" x14ac:dyDescent="0.3">
      <c r="A82" s="81">
        <v>1965</v>
      </c>
      <c r="B82" s="88">
        <v>3.4391900153452402</v>
      </c>
      <c r="C82" s="53">
        <v>3.34829406239907</v>
      </c>
      <c r="D82" s="53">
        <v>15</v>
      </c>
      <c r="E82" s="86">
        <f t="shared" si="5"/>
        <v>-0.49632958586014719</v>
      </c>
      <c r="F82" s="86">
        <f t="shared" si="6"/>
        <v>0.3</v>
      </c>
      <c r="G82" s="86">
        <f>_xlfn.LOGNORM.DIST(C82,Dataset!C$62,Dataset!C$63,TRUE)</f>
        <v>0.32325682924378729</v>
      </c>
      <c r="H82" s="86">
        <f t="shared" si="7"/>
        <v>2.3256829243787303E-2</v>
      </c>
      <c r="I82" s="87">
        <f>EXP(-EXP(-(C82-Dataset!C$59)/Dataset!C$58))</f>
        <v>0.34604771572863946</v>
      </c>
      <c r="J82" s="86">
        <f t="shared" si="8"/>
        <v>4.6047715728639471E-2</v>
      </c>
    </row>
    <row r="83" spans="1:10" x14ac:dyDescent="0.3">
      <c r="A83" s="81">
        <v>1966</v>
      </c>
      <c r="B83" s="88">
        <v>3.7145366417656498</v>
      </c>
      <c r="C83" s="53">
        <v>3.3711055969572299</v>
      </c>
      <c r="D83" s="53">
        <v>16</v>
      </c>
      <c r="E83" s="86">
        <f t="shared" si="5"/>
        <v>-0.43512562727515608</v>
      </c>
      <c r="F83" s="86">
        <f t="shared" si="6"/>
        <v>0.32</v>
      </c>
      <c r="G83" s="86">
        <f>_xlfn.LOGNORM.DIST(C83,Dataset!C$62,Dataset!C$63,TRUE)</f>
        <v>0.34676616791882398</v>
      </c>
      <c r="H83" s="86">
        <f t="shared" si="7"/>
        <v>2.6766167918823969E-2</v>
      </c>
      <c r="I83" s="87">
        <f>EXP(-EXP(-(C83-Dataset!C$59)/Dataset!C$58))</f>
        <v>0.37491232386482698</v>
      </c>
      <c r="J83" s="86">
        <f t="shared" si="8"/>
        <v>5.4912323864826973E-2</v>
      </c>
    </row>
    <row r="84" spans="1:10" x14ac:dyDescent="0.3">
      <c r="A84" s="81">
        <v>1967</v>
      </c>
      <c r="B84" s="88">
        <v>3.4326868100252201</v>
      </c>
      <c r="C84" s="53">
        <v>3.3714543506883698</v>
      </c>
      <c r="D84" s="53">
        <v>17</v>
      </c>
      <c r="E84" s="86">
        <f t="shared" si="5"/>
        <v>-0.43418991166765802</v>
      </c>
      <c r="F84" s="86">
        <f t="shared" si="6"/>
        <v>0.34</v>
      </c>
      <c r="G84" s="86">
        <f>_xlfn.LOGNORM.DIST(C84,Dataset!C$62,Dataset!C$63,TRUE)</f>
        <v>0.34712924916052385</v>
      </c>
      <c r="H84" s="86">
        <f t="shared" si="7"/>
        <v>7.1292491605238206E-3</v>
      </c>
      <c r="I84" s="87">
        <f>EXP(-EXP(-(C84-Dataset!C$59)/Dataset!C$58))</f>
        <v>0.37535374023754514</v>
      </c>
      <c r="J84" s="86">
        <f t="shared" si="8"/>
        <v>3.5353740237545117E-2</v>
      </c>
    </row>
    <row r="85" spans="1:10" x14ac:dyDescent="0.3">
      <c r="A85" s="81">
        <v>1968</v>
      </c>
      <c r="B85" s="88">
        <v>3.4194075966363799</v>
      </c>
      <c r="C85" s="53">
        <v>3.3775685635381199</v>
      </c>
      <c r="D85" s="53">
        <v>18</v>
      </c>
      <c r="E85" s="86">
        <f t="shared" si="5"/>
        <v>-0.41778531472649955</v>
      </c>
      <c r="F85" s="86">
        <f t="shared" si="6"/>
        <v>0.36</v>
      </c>
      <c r="G85" s="86">
        <f>_xlfn.LOGNORM.DIST(C85,Dataset!C$62,Dataset!C$63,TRUE)</f>
        <v>0.35351104715875414</v>
      </c>
      <c r="H85" s="86">
        <f t="shared" si="7"/>
        <v>6.488952841245843E-3</v>
      </c>
      <c r="I85" s="87">
        <f>EXP(-EXP(-(C85-Dataset!C$59)/Dataset!C$58))</f>
        <v>0.38309019280897577</v>
      </c>
      <c r="J85" s="86">
        <f t="shared" si="8"/>
        <v>2.3090192808975785E-2</v>
      </c>
    </row>
    <row r="86" spans="1:10" x14ac:dyDescent="0.3">
      <c r="A86" s="81">
        <v>1969</v>
      </c>
      <c r="B86" s="88">
        <v>3.7715365535441499</v>
      </c>
      <c r="C86" s="53">
        <v>3.3848021788482598</v>
      </c>
      <c r="D86" s="53">
        <v>19</v>
      </c>
      <c r="E86" s="86">
        <f t="shared" si="5"/>
        <v>-0.39837733098332789</v>
      </c>
      <c r="F86" s="86">
        <f t="shared" si="6"/>
        <v>0.38</v>
      </c>
      <c r="G86" s="86">
        <f>_xlfn.LOGNORM.DIST(C86,Dataset!C$62,Dataset!C$63,TRUE)</f>
        <v>0.36109957015313998</v>
      </c>
      <c r="H86" s="86">
        <f t="shared" si="7"/>
        <v>1.8900429846860023E-2</v>
      </c>
      <c r="I86" s="87">
        <f>EXP(-EXP(-(C86-Dataset!C$59)/Dataset!C$58))</f>
        <v>0.39223428898967755</v>
      </c>
      <c r="J86" s="86">
        <f t="shared" si="8"/>
        <v>1.2234288989677544E-2</v>
      </c>
    </row>
    <row r="87" spans="1:10" x14ac:dyDescent="0.3">
      <c r="A87" s="81">
        <v>1970</v>
      </c>
      <c r="B87" s="88">
        <v>3.4935327173002002</v>
      </c>
      <c r="C87" s="53">
        <v>3.4100238174034101</v>
      </c>
      <c r="D87" s="53">
        <v>20</v>
      </c>
      <c r="E87" s="86">
        <f t="shared" si="5"/>
        <v>-0.33070699878189996</v>
      </c>
      <c r="F87" s="86">
        <f t="shared" si="6"/>
        <v>0.4</v>
      </c>
      <c r="G87" s="86">
        <f>_xlfn.LOGNORM.DIST(C87,Dataset!C$62,Dataset!C$63,TRUE)</f>
        <v>0.38784154910489399</v>
      </c>
      <c r="H87" s="86">
        <f t="shared" si="7"/>
        <v>1.2158450895106032E-2</v>
      </c>
      <c r="I87" s="87">
        <f>EXP(-EXP(-(C87-Dataset!C$59)/Dataset!C$58))</f>
        <v>0.42397000451369637</v>
      </c>
      <c r="J87" s="86">
        <f t="shared" si="8"/>
        <v>2.3970004513696352E-2</v>
      </c>
    </row>
    <row r="88" spans="1:10" x14ac:dyDescent="0.3">
      <c r="A88" s="81">
        <v>1971</v>
      </c>
      <c r="B88" s="88">
        <v>2.6438071874968001</v>
      </c>
      <c r="C88" s="53">
        <v>3.4194075966363799</v>
      </c>
      <c r="D88" s="53">
        <v>21</v>
      </c>
      <c r="E88" s="86">
        <f t="shared" si="5"/>
        <v>-0.30553006760784418</v>
      </c>
      <c r="F88" s="86">
        <f t="shared" si="6"/>
        <v>0.42</v>
      </c>
      <c r="G88" s="86">
        <f>_xlfn.LOGNORM.DIST(C88,Dataset!C$62,Dataset!C$63,TRUE)</f>
        <v>0.39788483861989654</v>
      </c>
      <c r="H88" s="86">
        <f t="shared" si="7"/>
        <v>2.2115161380103443E-2</v>
      </c>
      <c r="I88" s="87">
        <f>EXP(-EXP(-(C88-Dataset!C$59)/Dataset!C$58))</f>
        <v>0.43568915628093963</v>
      </c>
      <c r="J88" s="86">
        <f t="shared" si="8"/>
        <v>1.5689156280939642E-2</v>
      </c>
    </row>
    <row r="89" spans="1:10" x14ac:dyDescent="0.3">
      <c r="A89" s="81">
        <v>1972</v>
      </c>
      <c r="B89" s="88">
        <v>3.56761422337041</v>
      </c>
      <c r="C89" s="53">
        <v>3.4326868100252201</v>
      </c>
      <c r="D89" s="53">
        <v>22</v>
      </c>
      <c r="E89" s="86">
        <f t="shared" si="5"/>
        <v>-0.26990158219316562</v>
      </c>
      <c r="F89" s="86">
        <f t="shared" si="6"/>
        <v>0.44</v>
      </c>
      <c r="G89" s="86">
        <f>_xlfn.LOGNORM.DIST(C89,Dataset!C$62,Dataset!C$63,TRUE)</f>
        <v>0.41216465858456469</v>
      </c>
      <c r="H89" s="86">
        <f t="shared" si="7"/>
        <v>2.7835341415435311E-2</v>
      </c>
      <c r="I89" s="87">
        <f>EXP(-EXP(-(C89-Dataset!C$59)/Dataset!C$58))</f>
        <v>0.45216189335304091</v>
      </c>
      <c r="J89" s="86">
        <f t="shared" si="8"/>
        <v>1.2161893353040909E-2</v>
      </c>
    </row>
    <row r="90" spans="1:10" x14ac:dyDescent="0.3">
      <c r="A90" s="81">
        <v>1973</v>
      </c>
      <c r="B90" s="88">
        <v>3.3775685635381199</v>
      </c>
      <c r="C90" s="53">
        <v>3.4391900153452402</v>
      </c>
      <c r="D90" s="53">
        <v>23</v>
      </c>
      <c r="E90" s="86">
        <f t="shared" si="5"/>
        <v>-0.25245330802899618</v>
      </c>
      <c r="F90" s="86">
        <f t="shared" si="6"/>
        <v>0.46</v>
      </c>
      <c r="G90" s="86">
        <f>_xlfn.LOGNORM.DIST(C90,Dataset!C$62,Dataset!C$63,TRUE)</f>
        <v>0.41918151201922849</v>
      </c>
      <c r="H90" s="86">
        <f t="shared" si="7"/>
        <v>4.0818487980771534E-2</v>
      </c>
      <c r="I90" s="87">
        <f>EXP(-EXP(-(C90-Dataset!C$59)/Dataset!C$58))</f>
        <v>0.46017430659620895</v>
      </c>
      <c r="J90" s="86">
        <f t="shared" si="8"/>
        <v>1.7430659620892852E-4</v>
      </c>
    </row>
    <row r="91" spans="1:10" x14ac:dyDescent="0.3">
      <c r="A91" s="81">
        <v>1974</v>
      </c>
      <c r="B91" s="88">
        <v>3.3711055969572299</v>
      </c>
      <c r="C91" s="53">
        <v>3.4468615897553398</v>
      </c>
      <c r="D91" s="53">
        <v>24</v>
      </c>
      <c r="E91" s="86">
        <f t="shared" si="5"/>
        <v>-0.23187026828301538</v>
      </c>
      <c r="F91" s="86">
        <f t="shared" si="6"/>
        <v>0.48</v>
      </c>
      <c r="G91" s="86">
        <f>_xlfn.LOGNORM.DIST(C91,Dataset!C$62,Dataset!C$63,TRUE)</f>
        <v>0.42747487719160115</v>
      </c>
      <c r="H91" s="86">
        <f t="shared" si="7"/>
        <v>5.2525122808398828E-2</v>
      </c>
      <c r="I91" s="87">
        <f>EXP(-EXP(-(C91-Dataset!C$59)/Dataset!C$58))</f>
        <v>0.46957454832220946</v>
      </c>
      <c r="J91" s="86">
        <f t="shared" si="8"/>
        <v>1.042545167779052E-2</v>
      </c>
    </row>
    <row r="92" spans="1:10" x14ac:dyDescent="0.3">
      <c r="A92" s="81">
        <v>1975</v>
      </c>
      <c r="B92" s="88">
        <v>2.8914284823616101</v>
      </c>
      <c r="C92" s="53">
        <v>3.4531430992334902</v>
      </c>
      <c r="D92" s="53">
        <v>25</v>
      </c>
      <c r="E92" s="86">
        <f t="shared" si="5"/>
        <v>-0.21501681000418954</v>
      </c>
      <c r="F92" s="86">
        <f t="shared" si="6"/>
        <v>0.5</v>
      </c>
      <c r="G92" s="86">
        <f>_xlfn.LOGNORM.DIST(C92,Dataset!C$62,Dataset!C$63,TRUE)</f>
        <v>0.43427582834661477</v>
      </c>
      <c r="H92" s="86">
        <f t="shared" si="7"/>
        <v>6.5724171653385233E-2</v>
      </c>
      <c r="I92" s="87">
        <f>EXP(-EXP(-(C92-Dataset!C$59)/Dataset!C$58))</f>
        <v>0.47722675277252441</v>
      </c>
      <c r="J92" s="86">
        <f t="shared" si="8"/>
        <v>2.277324722747559E-2</v>
      </c>
    </row>
    <row r="93" spans="1:10" x14ac:dyDescent="0.3">
      <c r="A93" s="81">
        <v>1976</v>
      </c>
      <c r="B93" s="88">
        <v>3.3340074767269399</v>
      </c>
      <c r="C93" s="53">
        <v>3.4567670130095598</v>
      </c>
      <c r="D93" s="53">
        <v>26</v>
      </c>
      <c r="E93" s="86">
        <f t="shared" si="5"/>
        <v>-0.20529375221951254</v>
      </c>
      <c r="F93" s="86">
        <f t="shared" si="6"/>
        <v>0.52</v>
      </c>
      <c r="G93" s="86">
        <f>_xlfn.LOGNORM.DIST(C93,Dataset!C$62,Dataset!C$63,TRUE)</f>
        <v>0.43820277604543179</v>
      </c>
      <c r="H93" s="86">
        <f t="shared" si="7"/>
        <v>8.1797223954568232E-2</v>
      </c>
      <c r="I93" s="87">
        <f>EXP(-EXP(-(C93-Dataset!C$59)/Dataset!C$58))</f>
        <v>0.48162207485746417</v>
      </c>
      <c r="J93" s="86">
        <f t="shared" si="8"/>
        <v>3.8377925142535851E-2</v>
      </c>
    </row>
    <row r="94" spans="1:10" x14ac:dyDescent="0.3">
      <c r="A94" s="81">
        <v>1977</v>
      </c>
      <c r="B94" s="88">
        <v>3.7798057137816601</v>
      </c>
      <c r="C94" s="53">
        <v>3.4935327173002002</v>
      </c>
      <c r="D94" s="53">
        <v>27</v>
      </c>
      <c r="E94" s="86">
        <f t="shared" si="5"/>
        <v>-0.10665038226054287</v>
      </c>
      <c r="F94" s="86">
        <f t="shared" si="6"/>
        <v>0.54</v>
      </c>
      <c r="G94" s="86">
        <f>_xlfn.LOGNORM.DIST(C94,Dataset!C$62,Dataset!C$63,TRUE)</f>
        <v>0.47808720826890688</v>
      </c>
      <c r="H94" s="86">
        <f t="shared" si="7"/>
        <v>6.1912791731093153E-2</v>
      </c>
      <c r="I94" s="87">
        <f>EXP(-EXP(-(C94-Dataset!C$59)/Dataset!C$58))</f>
        <v>0.52530795940695973</v>
      </c>
      <c r="J94" s="86">
        <f t="shared" si="8"/>
        <v>1.4692040593040301E-2</v>
      </c>
    </row>
    <row r="95" spans="1:10" x14ac:dyDescent="0.3">
      <c r="A95" s="81">
        <v>1978</v>
      </c>
      <c r="B95" s="88">
        <v>3.3848021788482598</v>
      </c>
      <c r="C95" s="53">
        <v>3.5327019102347599</v>
      </c>
      <c r="D95" s="53">
        <v>28</v>
      </c>
      <c r="E95" s="86">
        <f t="shared" si="5"/>
        <v>-1.5583878547224175E-3</v>
      </c>
      <c r="F95" s="86">
        <f t="shared" si="6"/>
        <v>0.56000000000000005</v>
      </c>
      <c r="G95" s="86">
        <f>_xlfn.LOGNORM.DIST(C95,Dataset!C$62,Dataset!C$63,TRUE)</f>
        <v>0.5203509980825225</v>
      </c>
      <c r="H95" s="86">
        <f t="shared" si="7"/>
        <v>3.9649001917477555E-2</v>
      </c>
      <c r="I95" s="87">
        <f>EXP(-EXP(-(C95-Dataset!C$59)/Dataset!C$58))</f>
        <v>0.56973061454844687</v>
      </c>
      <c r="J95" s="86">
        <f t="shared" si="8"/>
        <v>9.7306145484468143E-3</v>
      </c>
    </row>
    <row r="96" spans="1:10" x14ac:dyDescent="0.3">
      <c r="A96" s="81">
        <v>1979</v>
      </c>
      <c r="B96" s="88">
        <v>3.59035466364536</v>
      </c>
      <c r="C96" s="53">
        <v>3.56761422337041</v>
      </c>
      <c r="D96" s="53">
        <v>29</v>
      </c>
      <c r="E96" s="86">
        <f t="shared" si="5"/>
        <v>9.211228396319926E-2</v>
      </c>
      <c r="F96" s="86">
        <f t="shared" si="6"/>
        <v>0.57999999999999996</v>
      </c>
      <c r="G96" s="86">
        <f>_xlfn.LOGNORM.DIST(C96,Dataset!C$62,Dataset!C$63,TRUE)</f>
        <v>0.55745475390999832</v>
      </c>
      <c r="H96" s="86">
        <f t="shared" si="7"/>
        <v>2.2545246090001636E-2</v>
      </c>
      <c r="I96" s="87">
        <f>EXP(-EXP(-(C96-Dataset!C$59)/Dataset!C$58))</f>
        <v>0.607195592484572</v>
      </c>
      <c r="J96" s="86">
        <f t="shared" si="8"/>
        <v>2.719559248457204E-2</v>
      </c>
    </row>
    <row r="97" spans="1:10" x14ac:dyDescent="0.3">
      <c r="A97" s="81">
        <v>1980</v>
      </c>
      <c r="B97" s="88">
        <v>4.1863268452207496</v>
      </c>
      <c r="C97" s="53">
        <v>3.5745420404963402</v>
      </c>
      <c r="D97" s="53">
        <v>30</v>
      </c>
      <c r="E97" s="86">
        <f t="shared" si="5"/>
        <v>0.11069980298252581</v>
      </c>
      <c r="F97" s="86">
        <f t="shared" si="6"/>
        <v>0.6</v>
      </c>
      <c r="G97" s="86">
        <f>_xlfn.LOGNORM.DIST(C97,Dataset!C$62,Dataset!C$63,TRUE)</f>
        <v>0.56472542902738077</v>
      </c>
      <c r="H97" s="86">
        <f t="shared" si="7"/>
        <v>3.5274570972619212E-2</v>
      </c>
      <c r="I97" s="87">
        <f>EXP(-EXP(-(C97-Dataset!C$59)/Dataset!C$58))</f>
        <v>0.61437417059262334</v>
      </c>
      <c r="J97" s="86">
        <f t="shared" si="8"/>
        <v>1.4374170592623359E-2</v>
      </c>
    </row>
    <row r="98" spans="1:10" x14ac:dyDescent="0.3">
      <c r="A98" s="81">
        <v>1981</v>
      </c>
      <c r="B98" s="88">
        <v>3.2369964848875701</v>
      </c>
      <c r="C98" s="53">
        <v>3.59035466364536</v>
      </c>
      <c r="D98" s="53">
        <v>31</v>
      </c>
      <c r="E98" s="86">
        <f t="shared" si="5"/>
        <v>0.15312549468096073</v>
      </c>
      <c r="F98" s="86">
        <f t="shared" si="6"/>
        <v>0.62</v>
      </c>
      <c r="G98" s="86">
        <f>_xlfn.LOGNORM.DIST(C98,Dataset!C$62,Dataset!C$63,TRUE)</f>
        <v>0.58118289434064174</v>
      </c>
      <c r="H98" s="86">
        <f t="shared" si="7"/>
        <v>3.8817105659358253E-2</v>
      </c>
      <c r="I98" s="87">
        <f>EXP(-EXP(-(C98-Dataset!C$59)/Dataset!C$58))</f>
        <v>0.63043103014251456</v>
      </c>
      <c r="J98" s="86">
        <f t="shared" si="8"/>
        <v>1.0431030142514564E-2</v>
      </c>
    </row>
    <row r="99" spans="1:10" x14ac:dyDescent="0.3">
      <c r="A99" s="81">
        <v>1982</v>
      </c>
      <c r="B99" s="88">
        <v>3.2775176373691801</v>
      </c>
      <c r="C99" s="53">
        <v>3.6070170423530801</v>
      </c>
      <c r="D99" s="53">
        <v>32</v>
      </c>
      <c r="E99" s="86">
        <f t="shared" si="5"/>
        <v>0.19783110331744513</v>
      </c>
      <c r="F99" s="86">
        <f t="shared" si="6"/>
        <v>0.64</v>
      </c>
      <c r="G99" s="86">
        <f>_xlfn.LOGNORM.DIST(C99,Dataset!C$62,Dataset!C$63,TRUE)</f>
        <v>0.59829464143152944</v>
      </c>
      <c r="H99" s="86">
        <f t="shared" si="7"/>
        <v>4.1705358568470574E-2</v>
      </c>
      <c r="I99" s="87">
        <f>EXP(-EXP(-(C99-Dataset!C$59)/Dataset!C$58))</f>
        <v>0.64684893502557272</v>
      </c>
      <c r="J99" s="86">
        <f t="shared" si="8"/>
        <v>6.8489350255727111E-3</v>
      </c>
    </row>
    <row r="100" spans="1:10" x14ac:dyDescent="0.3">
      <c r="A100" s="81">
        <v>1983</v>
      </c>
      <c r="B100" s="88">
        <v>3.5745420404963402</v>
      </c>
      <c r="C100" s="53">
        <v>3.6228289524022599</v>
      </c>
      <c r="D100" s="53">
        <v>33</v>
      </c>
      <c r="E100" s="86">
        <f t="shared" ref="E100:E117" si="9">(C100-B$119)/B$120</f>
        <v>0.24025488174989759</v>
      </c>
      <c r="F100" s="86">
        <f t="shared" si="6"/>
        <v>0.66</v>
      </c>
      <c r="G100" s="86">
        <f>_xlfn.LOGNORM.DIST(C100,Dataset!C$62,Dataset!C$63,TRUE)</f>
        <v>0.61428930518234048</v>
      </c>
      <c r="H100" s="86">
        <f t="shared" si="7"/>
        <v>4.5710694817659547E-2</v>
      </c>
      <c r="I100" s="87">
        <f>EXP(-EXP(-(C100-Dataset!C$59)/Dataset!C$58))</f>
        <v>0.66194566877934524</v>
      </c>
      <c r="J100" s="86">
        <f t="shared" si="8"/>
        <v>1.945668779345211E-3</v>
      </c>
    </row>
    <row r="101" spans="1:10" x14ac:dyDescent="0.3">
      <c r="A101" s="81">
        <v>1984</v>
      </c>
      <c r="B101" s="88">
        <v>3.6239964559881201</v>
      </c>
      <c r="C101" s="53">
        <v>3.6239964559881201</v>
      </c>
      <c r="D101" s="53">
        <v>34</v>
      </c>
      <c r="E101" s="86">
        <f t="shared" si="9"/>
        <v>0.24338732516069214</v>
      </c>
      <c r="F101" s="86">
        <f t="shared" si="6"/>
        <v>0.68</v>
      </c>
      <c r="G101" s="86">
        <f>_xlfn.LOGNORM.DIST(C101,Dataset!C$62,Dataset!C$63,TRUE)</f>
        <v>0.61546024730035487</v>
      </c>
      <c r="H101" s="86">
        <f t="shared" si="7"/>
        <v>6.4539752699645181E-2</v>
      </c>
      <c r="I101" s="87">
        <f>EXP(-EXP(-(C101-Dataset!C$59)/Dataset!C$58))</f>
        <v>0.66304157958460275</v>
      </c>
      <c r="J101" s="86">
        <f t="shared" si="8"/>
        <v>1.6958420415397302E-2</v>
      </c>
    </row>
    <row r="102" spans="1:10" x14ac:dyDescent="0.3">
      <c r="A102" s="81">
        <v>1985</v>
      </c>
      <c r="B102" s="88">
        <v>3.2853039509107398</v>
      </c>
      <c r="C102" s="53">
        <v>3.71069253095725</v>
      </c>
      <c r="D102" s="53">
        <v>35</v>
      </c>
      <c r="E102" s="86">
        <f t="shared" si="9"/>
        <v>0.47599521781970933</v>
      </c>
      <c r="F102" s="86">
        <f t="shared" si="6"/>
        <v>0.7</v>
      </c>
      <c r="G102" s="86">
        <f>_xlfn.LOGNORM.DIST(C102,Dataset!C$62,Dataset!C$63,TRUE)</f>
        <v>0.69788103233897569</v>
      </c>
      <c r="H102" s="86">
        <f t="shared" si="7"/>
        <v>2.1189676610242625E-3</v>
      </c>
      <c r="I102" s="87">
        <f>EXP(-EXP(-(C102-Dataset!C$59)/Dataset!C$58))</f>
        <v>0.73718099539614768</v>
      </c>
      <c r="J102" s="86">
        <f t="shared" si="8"/>
        <v>3.718099539614772E-2</v>
      </c>
    </row>
    <row r="103" spans="1:10" x14ac:dyDescent="0.3">
      <c r="A103" s="81">
        <v>1986</v>
      </c>
      <c r="B103" s="88">
        <v>3.4567670130095598</v>
      </c>
      <c r="C103" s="53">
        <v>3.7145366417656498</v>
      </c>
      <c r="D103" s="53">
        <v>36</v>
      </c>
      <c r="E103" s="86">
        <f t="shared" si="9"/>
        <v>0.486309070143566</v>
      </c>
      <c r="F103" s="86">
        <f t="shared" si="6"/>
        <v>0.72</v>
      </c>
      <c r="G103" s="86">
        <f>_xlfn.LOGNORM.DIST(C103,Dataset!C$62,Dataset!C$63,TRUE)</f>
        <v>0.70130540382250517</v>
      </c>
      <c r="H103" s="86">
        <f t="shared" si="7"/>
        <v>1.8694596177494804E-2</v>
      </c>
      <c r="I103" s="87">
        <f>EXP(-EXP(-(C103-Dataset!C$59)/Dataset!C$58))</f>
        <v>0.74014083105469941</v>
      </c>
      <c r="J103" s="86">
        <f t="shared" si="8"/>
        <v>2.0140831054699437E-2</v>
      </c>
    </row>
    <row r="104" spans="1:10" x14ac:dyDescent="0.3">
      <c r="A104" s="81">
        <v>1987</v>
      </c>
      <c r="B104" s="88">
        <v>4.22836751639458</v>
      </c>
      <c r="C104" s="53">
        <v>3.7160162873203699</v>
      </c>
      <c r="D104" s="53">
        <v>37</v>
      </c>
      <c r="E104" s="86">
        <f t="shared" si="9"/>
        <v>0.49027899882243969</v>
      </c>
      <c r="F104" s="86">
        <f t="shared" si="6"/>
        <v>0.74</v>
      </c>
      <c r="G104" s="86">
        <f>_xlfn.LOGNORM.DIST(C104,Dataset!C$62,Dataset!C$63,TRUE)</f>
        <v>0.70261782693334884</v>
      </c>
      <c r="H104" s="86">
        <f t="shared" si="7"/>
        <v>3.7382173066651148E-2</v>
      </c>
      <c r="I104" s="87">
        <f>EXP(-EXP(-(C104-Dataset!C$59)/Dataset!C$58))</f>
        <v>0.74127284110771086</v>
      </c>
      <c r="J104" s="86">
        <f t="shared" si="8"/>
        <v>1.2728411077108648E-3</v>
      </c>
    </row>
    <row r="105" spans="1:10" x14ac:dyDescent="0.3">
      <c r="A105" s="81">
        <v>1988</v>
      </c>
      <c r="B105" s="88">
        <v>4.1425484844535898</v>
      </c>
      <c r="C105" s="53">
        <v>3.75162697553559</v>
      </c>
      <c r="D105" s="53">
        <v>38</v>
      </c>
      <c r="E105" s="86">
        <f t="shared" si="9"/>
        <v>0.58582342969579937</v>
      </c>
      <c r="F105" s="86">
        <f t="shared" si="6"/>
        <v>0.76</v>
      </c>
      <c r="G105" s="86">
        <f>_xlfn.LOGNORM.DIST(C105,Dataset!C$62,Dataset!C$63,TRUE)</f>
        <v>0.7332292122723445</v>
      </c>
      <c r="H105" s="86">
        <f t="shared" si="7"/>
        <v>2.677078772765551E-2</v>
      </c>
      <c r="I105" s="87">
        <f>EXP(-EXP(-(C105-Dataset!C$59)/Dataset!C$58))</f>
        <v>0.76731517580473807</v>
      </c>
      <c r="J105" s="86">
        <f t="shared" si="8"/>
        <v>7.3151758047380611E-3</v>
      </c>
    </row>
    <row r="106" spans="1:10" x14ac:dyDescent="0.3">
      <c r="A106" s="81">
        <v>1989</v>
      </c>
      <c r="B106" s="88">
        <v>3.2765221754642</v>
      </c>
      <c r="C106" s="53">
        <v>3.7715365535441499</v>
      </c>
      <c r="D106" s="53">
        <v>39</v>
      </c>
      <c r="E106" s="86">
        <f t="shared" si="9"/>
        <v>0.63924136108370178</v>
      </c>
      <c r="F106" s="86">
        <f t="shared" si="6"/>
        <v>0.78</v>
      </c>
      <c r="G106" s="86">
        <f>_xlfn.LOGNORM.DIST(C106,Dataset!C$62,Dataset!C$63,TRUE)</f>
        <v>0.749502179186887</v>
      </c>
      <c r="H106" s="86">
        <f t="shared" si="7"/>
        <v>3.049782081311303E-2</v>
      </c>
      <c r="I106" s="87">
        <f>EXP(-EXP(-(C106-Dataset!C$59)/Dataset!C$58))</f>
        <v>0.78089136636177681</v>
      </c>
      <c r="J106" s="86">
        <f t="shared" si="8"/>
        <v>8.9136636177677975E-4</v>
      </c>
    </row>
    <row r="107" spans="1:10" x14ac:dyDescent="0.3">
      <c r="A107" s="81">
        <v>1990</v>
      </c>
      <c r="B107" s="88">
        <v>2.7210305888110899</v>
      </c>
      <c r="C107" s="53">
        <v>3.7798057137816601</v>
      </c>
      <c r="D107" s="53">
        <v>40</v>
      </c>
      <c r="E107" s="86">
        <f t="shared" si="9"/>
        <v>0.66142773962035273</v>
      </c>
      <c r="F107" s="86">
        <f t="shared" si="6"/>
        <v>0.8</v>
      </c>
      <c r="G107" s="86">
        <f>_xlfn.LOGNORM.DIST(C107,Dataset!C$62,Dataset!C$63,TRUE)</f>
        <v>0.75607850682079858</v>
      </c>
      <c r="H107" s="86">
        <f t="shared" si="7"/>
        <v>4.3921493179201465E-2</v>
      </c>
      <c r="I107" s="87">
        <f>EXP(-EXP(-(C107-Dataset!C$59)/Dataset!C$58))</f>
        <v>0.78632838718509235</v>
      </c>
      <c r="J107" s="86">
        <f t="shared" si="8"/>
        <v>1.3671612814907697E-2</v>
      </c>
    </row>
    <row r="108" spans="1:10" x14ac:dyDescent="0.3">
      <c r="A108" s="81">
        <v>1991</v>
      </c>
      <c r="B108" s="88">
        <v>3.8972524567762199</v>
      </c>
      <c r="C108" s="53">
        <v>3.8359233790742699</v>
      </c>
      <c r="D108" s="53">
        <v>41</v>
      </c>
      <c r="E108" s="86">
        <f t="shared" si="9"/>
        <v>0.81199293959400798</v>
      </c>
      <c r="F108" s="86">
        <f t="shared" si="6"/>
        <v>0.82</v>
      </c>
      <c r="G108" s="86">
        <f>_xlfn.LOGNORM.DIST(C108,Dataset!C$62,Dataset!C$63,TRUE)</f>
        <v>0.79781489004370898</v>
      </c>
      <c r="H108" s="86">
        <f t="shared" si="7"/>
        <v>2.2185109956290971E-2</v>
      </c>
      <c r="I108" s="87">
        <f>EXP(-EXP(-(C108-Dataset!C$59)/Dataset!C$58))</f>
        <v>0.8202323928235874</v>
      </c>
      <c r="J108" s="86">
        <f t="shared" si="8"/>
        <v>2.3239282358744617E-4</v>
      </c>
    </row>
    <row r="109" spans="1:10" x14ac:dyDescent="0.3">
      <c r="A109" s="81">
        <v>1992</v>
      </c>
      <c r="B109" s="88">
        <v>3.2603095979960499</v>
      </c>
      <c r="C109" s="53">
        <v>3.8972524567762199</v>
      </c>
      <c r="D109" s="53">
        <v>42</v>
      </c>
      <c r="E109" s="86">
        <f t="shared" si="9"/>
        <v>0.97654049873150406</v>
      </c>
      <c r="F109" s="86">
        <f t="shared" si="6"/>
        <v>0.84</v>
      </c>
      <c r="G109" s="86">
        <f>_xlfn.LOGNORM.DIST(C109,Dataset!C$62,Dataset!C$63,TRUE)</f>
        <v>0.83759586878618864</v>
      </c>
      <c r="H109" s="86">
        <f t="shared" si="7"/>
        <v>2.4041312138113335E-3</v>
      </c>
      <c r="I109" s="87">
        <f>EXP(-EXP(-(C109-Dataset!C$59)/Dataset!C$58))</f>
        <v>0.85174866239077596</v>
      </c>
      <c r="J109" s="86">
        <f t="shared" si="8"/>
        <v>1.1748662390775988E-2</v>
      </c>
    </row>
    <row r="110" spans="1:10" x14ac:dyDescent="0.3">
      <c r="A110" s="81">
        <v>1993</v>
      </c>
      <c r="B110" s="88">
        <v>3.5327019102347599</v>
      </c>
      <c r="C110" s="53">
        <v>3.9200771302152502</v>
      </c>
      <c r="D110" s="53">
        <v>43</v>
      </c>
      <c r="E110" s="86">
        <f t="shared" si="9"/>
        <v>1.0377797092860019</v>
      </c>
      <c r="F110" s="86">
        <f t="shared" si="6"/>
        <v>0.86</v>
      </c>
      <c r="G110" s="86">
        <f>_xlfn.LOGNORM.DIST(C110,Dataset!C$62,Dataset!C$63,TRUE)</f>
        <v>0.85086178784729372</v>
      </c>
      <c r="H110" s="86">
        <f t="shared" si="7"/>
        <v>9.138212152706271E-3</v>
      </c>
      <c r="I110" s="87">
        <f>EXP(-EXP(-(C110-Dataset!C$59)/Dataset!C$58))</f>
        <v>0.86213570293196506</v>
      </c>
      <c r="J110" s="86">
        <f t="shared" si="8"/>
        <v>2.1357029319650778E-3</v>
      </c>
    </row>
    <row r="111" spans="1:10" x14ac:dyDescent="0.3">
      <c r="A111" s="81">
        <v>1994</v>
      </c>
      <c r="B111" s="88">
        <v>3.6228289524022599</v>
      </c>
      <c r="C111" s="53">
        <v>3.94071985435632</v>
      </c>
      <c r="D111" s="53">
        <v>44</v>
      </c>
      <c r="E111" s="86">
        <f t="shared" si="9"/>
        <v>1.0931646913962694</v>
      </c>
      <c r="F111" s="86">
        <f t="shared" si="6"/>
        <v>0.88</v>
      </c>
      <c r="G111" s="86">
        <f>_xlfn.LOGNORM.DIST(C111,Dataset!C$62,Dataset!C$63,TRUE)</f>
        <v>0.86215749253464802</v>
      </c>
      <c r="H111" s="86">
        <f t="shared" si="7"/>
        <v>1.7842507465351987E-2</v>
      </c>
      <c r="I111" s="87">
        <f>EXP(-EXP(-(C111-Dataset!C$59)/Dataset!C$58))</f>
        <v>0.87095011450305004</v>
      </c>
      <c r="J111" s="86">
        <f t="shared" si="8"/>
        <v>9.0498854969499609E-3</v>
      </c>
    </row>
    <row r="112" spans="1:10" x14ac:dyDescent="0.3">
      <c r="A112" s="81">
        <v>1995</v>
      </c>
      <c r="B112" s="88">
        <v>3.2612565349881799</v>
      </c>
      <c r="C112" s="53">
        <v>4.1371279389425997</v>
      </c>
      <c r="D112" s="53">
        <v>45</v>
      </c>
      <c r="E112" s="86">
        <f t="shared" si="9"/>
        <v>1.6201328462184579</v>
      </c>
      <c r="F112" s="86">
        <f t="shared" si="6"/>
        <v>0.9</v>
      </c>
      <c r="G112" s="86">
        <f>_xlfn.LOGNORM.DIST(C112,Dataset!C$62,Dataset!C$63,TRUE)</f>
        <v>0.93972021988923526</v>
      </c>
      <c r="H112" s="86">
        <f t="shared" si="7"/>
        <v>3.9720219889235242E-2</v>
      </c>
      <c r="I112" s="87">
        <f>EXP(-EXP(-(C112-Dataset!C$59)/Dataset!C$58))</f>
        <v>0.93212457952306504</v>
      </c>
      <c r="J112" s="86">
        <f t="shared" si="8"/>
        <v>3.2124579523065022E-2</v>
      </c>
    </row>
    <row r="113" spans="1:10" x14ac:dyDescent="0.3">
      <c r="A113" s="81">
        <v>1996</v>
      </c>
      <c r="B113" s="88">
        <v>3.4531430992334902</v>
      </c>
      <c r="C113" s="53">
        <v>4.1425484844535898</v>
      </c>
      <c r="D113" s="53">
        <v>46</v>
      </c>
      <c r="E113" s="86">
        <f t="shared" si="9"/>
        <v>1.6346763150989427</v>
      </c>
      <c r="F113" s="86">
        <f t="shared" si="6"/>
        <v>0.92</v>
      </c>
      <c r="G113" s="86">
        <f>_xlfn.LOGNORM.DIST(C113,Dataset!C$62,Dataset!C$63,TRUE)</f>
        <v>0.94119403363901932</v>
      </c>
      <c r="H113" s="86">
        <f t="shared" si="7"/>
        <v>2.1194033639019283E-2</v>
      </c>
      <c r="I113" s="87">
        <f>EXP(-EXP(-(C113-Dataset!C$59)/Dataset!C$58))</f>
        <v>0.9333361508702761</v>
      </c>
      <c r="J113" s="86">
        <f t="shared" si="8"/>
        <v>1.3336150870276064E-2</v>
      </c>
    </row>
    <row r="114" spans="1:10" x14ac:dyDescent="0.3">
      <c r="A114" s="81">
        <v>1997</v>
      </c>
      <c r="B114" s="88">
        <v>4.2416814086937302</v>
      </c>
      <c r="C114" s="53">
        <v>4.1863268452207496</v>
      </c>
      <c r="D114" s="53">
        <v>47</v>
      </c>
      <c r="E114" s="86">
        <f t="shared" si="9"/>
        <v>1.752134830328625</v>
      </c>
      <c r="F114" s="86">
        <f t="shared" si="6"/>
        <v>0.94</v>
      </c>
      <c r="G114" s="86">
        <f>_xlfn.LOGNORM.DIST(C114,Dataset!C$62,Dataset!C$63,TRUE)</f>
        <v>0.95202468530528017</v>
      </c>
      <c r="H114" s="86">
        <f t="shared" si="7"/>
        <v>1.2024685305280225E-2</v>
      </c>
      <c r="I114" s="87">
        <f>EXP(-EXP(-(C114-Dataset!C$59)/Dataset!C$58))</f>
        <v>0.94238482706942306</v>
      </c>
      <c r="J114" s="86">
        <f t="shared" si="8"/>
        <v>2.3848270694231122E-3</v>
      </c>
    </row>
    <row r="115" spans="1:10" x14ac:dyDescent="0.3">
      <c r="A115" s="81">
        <v>1998</v>
      </c>
      <c r="B115" s="88">
        <v>3.26975047882283</v>
      </c>
      <c r="C115" s="53">
        <v>4.22836751639458</v>
      </c>
      <c r="D115" s="53">
        <v>48</v>
      </c>
      <c r="E115" s="86">
        <f t="shared" si="9"/>
        <v>1.8649310778080803</v>
      </c>
      <c r="F115" s="86">
        <f t="shared" si="6"/>
        <v>0.96</v>
      </c>
      <c r="G115" s="86">
        <f>_xlfn.LOGNORM.DIST(C115,Dataset!C$62,Dataset!C$63,TRUE)</f>
        <v>0.960779025036957</v>
      </c>
      <c r="H115" s="86">
        <f t="shared" si="7"/>
        <v>7.7902503695703729E-4</v>
      </c>
      <c r="I115" s="87">
        <f>EXP(-EXP(-(C115-Dataset!C$59)/Dataset!C$58))</f>
        <v>0.9499473326303951</v>
      </c>
      <c r="J115" s="86">
        <f t="shared" si="8"/>
        <v>1.0052667369604862E-2</v>
      </c>
    </row>
    <row r="116" spans="1:10" x14ac:dyDescent="0.3">
      <c r="A116" s="81">
        <v>1999</v>
      </c>
      <c r="B116" s="88">
        <v>3.4100238174034101</v>
      </c>
      <c r="C116" s="53">
        <v>4.2416814086937302</v>
      </c>
      <c r="D116" s="53">
        <v>49</v>
      </c>
      <c r="E116" s="86">
        <f t="shared" si="9"/>
        <v>1.9006526076685404</v>
      </c>
      <c r="F116" s="86">
        <f t="shared" si="6"/>
        <v>0.98</v>
      </c>
      <c r="G116" s="86">
        <f>_xlfn.LOGNORM.DIST(C116,Dataset!C$62,Dataset!C$63,TRUE)</f>
        <v>0.96324762200497593</v>
      </c>
      <c r="H116" s="86">
        <f t="shared" si="7"/>
        <v>1.6752377995024048E-2</v>
      </c>
      <c r="I116" s="87">
        <f>EXP(-EXP(-(C116-Dataset!C$59)/Dataset!C$58))</f>
        <v>0.95213424290580473</v>
      </c>
      <c r="J116" s="86">
        <f t="shared" si="8"/>
        <v>2.7865757094195254E-2</v>
      </c>
    </row>
    <row r="117" spans="1:10" x14ac:dyDescent="0.3">
      <c r="A117" s="81">
        <v>2000</v>
      </c>
      <c r="B117" s="88">
        <v>4.3566647162118102</v>
      </c>
      <c r="C117" s="53">
        <v>4.3566647162118102</v>
      </c>
      <c r="D117" s="53">
        <v>50</v>
      </c>
      <c r="E117" s="86">
        <f t="shared" si="9"/>
        <v>2.2091559033744628</v>
      </c>
      <c r="F117" s="86">
        <f t="shared" si="6"/>
        <v>1</v>
      </c>
      <c r="G117" s="86">
        <f>_xlfn.LOGNORM.DIST(C117,Dataset!C$62,Dataset!C$63,TRUE)</f>
        <v>0.97952055783633585</v>
      </c>
      <c r="H117" s="86">
        <f t="shared" si="7"/>
        <v>2.0479442163664152E-2</v>
      </c>
      <c r="I117" s="87">
        <f>EXP(-EXP(-(C117-Dataset!C$59)/Dataset!C$58))</f>
        <v>0.96751816979483618</v>
      </c>
      <c r="J117" s="86">
        <f t="shared" si="8"/>
        <v>3.248183020516382E-2</v>
      </c>
    </row>
    <row r="118" spans="1:10" x14ac:dyDescent="0.3">
      <c r="A118" s="32"/>
      <c r="B118" s="8"/>
      <c r="E118" s="3"/>
      <c r="F118" s="3"/>
      <c r="G118" s="3"/>
      <c r="H118" s="3"/>
      <c r="I118" s="6"/>
      <c r="J118" s="3"/>
    </row>
    <row r="119" spans="1:10" x14ac:dyDescent="0.3">
      <c r="A119" s="81" t="s">
        <v>12</v>
      </c>
      <c r="B119" s="53">
        <f>AVERAGE(C68:C117)</f>
        <v>3.5332827422466901</v>
      </c>
      <c r="C119" s="80" t="s">
        <v>14</v>
      </c>
      <c r="D119" s="53">
        <v>50</v>
      </c>
      <c r="G119" s="91" t="s">
        <v>25</v>
      </c>
      <c r="H119" s="91">
        <f>MAX(H68:H117)</f>
        <v>8.1797223954568232E-2</v>
      </c>
      <c r="I119" s="91" t="s">
        <v>25</v>
      </c>
      <c r="J119" s="91">
        <f>MAX(J68:J117)</f>
        <v>7.7778486195159036E-2</v>
      </c>
    </row>
    <row r="120" spans="1:10" x14ac:dyDescent="0.3">
      <c r="A120" s="81" t="s">
        <v>13</v>
      </c>
      <c r="B120" s="53">
        <f>_xlfn.STDEV.S(C68:C117)</f>
        <v>0.3727133846495001</v>
      </c>
      <c r="C120" s="80" t="s">
        <v>15</v>
      </c>
      <c r="D120" s="53">
        <v>50</v>
      </c>
      <c r="G120" s="91" t="s">
        <v>23</v>
      </c>
      <c r="H120" s="91">
        <v>0.05</v>
      </c>
      <c r="I120" s="91" t="s">
        <v>23</v>
      </c>
      <c r="J120" s="91">
        <v>0.05</v>
      </c>
    </row>
    <row r="121" spans="1:10" x14ac:dyDescent="0.3">
      <c r="G121" s="91" t="s">
        <v>26</v>
      </c>
      <c r="H121" s="91">
        <v>0.19</v>
      </c>
      <c r="I121" s="91" t="s">
        <v>26</v>
      </c>
      <c r="J121" s="91">
        <v>0.19</v>
      </c>
    </row>
    <row r="122" spans="1:10" x14ac:dyDescent="0.3">
      <c r="A122" s="32"/>
      <c r="G122" s="139" t="s">
        <v>32</v>
      </c>
      <c r="H122" s="139"/>
      <c r="I122" s="139"/>
      <c r="J122" s="139"/>
    </row>
    <row r="123" spans="1:10" x14ac:dyDescent="0.3">
      <c r="A123" s="137" t="s">
        <v>28</v>
      </c>
      <c r="B123" s="137"/>
      <c r="C123" s="137"/>
      <c r="D123" s="137"/>
      <c r="E123" s="137"/>
      <c r="F123" s="137"/>
      <c r="G123" s="137"/>
      <c r="I123" s="6"/>
      <c r="J123" s="3"/>
    </row>
    <row r="124" spans="1:10" x14ac:dyDescent="0.3">
      <c r="A124" s="138" t="s">
        <v>36</v>
      </c>
      <c r="B124" s="138"/>
      <c r="C124" s="138"/>
      <c r="E124" s="140" t="s">
        <v>37</v>
      </c>
      <c r="F124" s="140"/>
      <c r="G124" s="140"/>
      <c r="I124" s="6"/>
      <c r="J124" s="3"/>
    </row>
    <row r="125" spans="1:10" x14ac:dyDescent="0.3">
      <c r="A125" s="88" t="s">
        <v>29</v>
      </c>
      <c r="B125" s="53"/>
      <c r="C125" s="53" cm="1">
        <f t="array" ref="C125">-(SUM(LN(B68:B117)))-((50/2)*LN(Dataset!C63^2))-((50/2)*LN(2*PI()))-((1/(2*Dataset!C63^2))*SUM((LN(B68:B117)-Dataset!C62)^2))</f>
        <v>-21.240929172179975</v>
      </c>
      <c r="E125" s="53" t="s">
        <v>29</v>
      </c>
      <c r="F125" s="53"/>
      <c r="G125" s="53" cm="1">
        <f t="array" ref="G125">-50*LN(Dataset!C$58) + 50*Dataset!C$59/Dataset!C$58 - SUM((B68:B117)/Dataset!C$58) -(EXP(Dataset!C$59/Dataset!C$58)*SUM(EXP(-(B68:B117)/Dataset!C$58)))</f>
        <v>-28.751369279320379</v>
      </c>
      <c r="I125" s="6"/>
      <c r="J125" s="3"/>
    </row>
    <row r="126" spans="1:10" x14ac:dyDescent="0.3">
      <c r="A126" s="90"/>
      <c r="B126" s="53"/>
      <c r="C126" s="53"/>
      <c r="E126" s="53"/>
      <c r="F126" s="53"/>
      <c r="G126" s="53"/>
      <c r="H126" s="3"/>
      <c r="I126" s="6"/>
      <c r="J126" s="3"/>
    </row>
    <row r="127" spans="1:10" x14ac:dyDescent="0.3">
      <c r="A127" s="90" t="s">
        <v>30</v>
      </c>
      <c r="B127" s="53"/>
      <c r="C127" s="53">
        <f>-2*C125+2*2</f>
        <v>46.481858344359949</v>
      </c>
      <c r="E127" s="53" t="s">
        <v>30</v>
      </c>
      <c r="F127" s="53"/>
      <c r="G127" s="53">
        <f>-2*G125+2*2</f>
        <v>61.502738558640758</v>
      </c>
      <c r="H127" s="3"/>
      <c r="I127" s="6"/>
      <c r="J127" s="3"/>
    </row>
    <row r="128" spans="1:10" x14ac:dyDescent="0.3">
      <c r="A128" s="90" t="s">
        <v>31</v>
      </c>
      <c r="B128" s="53"/>
      <c r="C128" s="53">
        <f>-2*C125+2*LN(50)</f>
        <v>50.305904355216242</v>
      </c>
      <c r="E128" s="53" t="s">
        <v>31</v>
      </c>
      <c r="F128" s="53"/>
      <c r="G128" s="53">
        <f>-2*G125+2*LN(50)</f>
        <v>65.32678456949705</v>
      </c>
      <c r="H128" s="3"/>
      <c r="I128" s="6"/>
      <c r="J128" s="3"/>
    </row>
    <row r="129" spans="1:34" x14ac:dyDescent="0.3">
      <c r="A129" s="36" t="s">
        <v>40</v>
      </c>
      <c r="D129" s="3"/>
      <c r="E129" s="3"/>
      <c r="F129" s="3"/>
      <c r="G129" s="3"/>
    </row>
    <row r="131" spans="1:34" x14ac:dyDescent="0.3">
      <c r="A131" s="136" t="s">
        <v>42</v>
      </c>
      <c r="B131" s="136"/>
      <c r="C131" s="136"/>
      <c r="D131" s="136"/>
      <c r="E131" s="136"/>
      <c r="F131" s="136"/>
      <c r="G131" s="136"/>
      <c r="H131" s="136"/>
      <c r="I131" s="136"/>
      <c r="J131" s="136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57.6" x14ac:dyDescent="0.3">
      <c r="A132" s="81" t="s">
        <v>49</v>
      </c>
      <c r="B132" s="80" t="s">
        <v>27</v>
      </c>
      <c r="C132" s="80" t="s">
        <v>11</v>
      </c>
      <c r="D132" s="82" t="s">
        <v>16</v>
      </c>
      <c r="E132" s="83" t="s">
        <v>17</v>
      </c>
      <c r="F132" s="83" t="s">
        <v>18</v>
      </c>
      <c r="G132" s="82" t="s">
        <v>19</v>
      </c>
      <c r="H132" s="82" t="s">
        <v>20</v>
      </c>
      <c r="I132" s="82" t="s">
        <v>21</v>
      </c>
      <c r="J132" s="82" t="s">
        <v>22</v>
      </c>
    </row>
    <row r="133" spans="1:34" x14ac:dyDescent="0.3">
      <c r="A133" s="81">
        <v>1951</v>
      </c>
      <c r="B133" s="88" cm="1">
        <f t="array" ref="B133:B182">Dataset!D$2:D$51</f>
        <v>6.0492789165268404</v>
      </c>
      <c r="C133" s="53">
        <v>5.14400381869177</v>
      </c>
      <c r="D133" s="53">
        <v>1</v>
      </c>
      <c r="E133" s="86">
        <f t="shared" ref="E133:E164" si="10">(C133-B$184)/B$185</f>
        <v>-1.6142221548843108</v>
      </c>
      <c r="F133" s="86">
        <f>D133/50</f>
        <v>0.02</v>
      </c>
      <c r="G133" s="86">
        <f>_xlfn.LOGNORM.DIST(C133,Dataset!D$62,Dataset!D$63,TRUE)</f>
        <v>4.3947517287428108E-2</v>
      </c>
      <c r="H133" s="86">
        <f>ABS(G133-F133)</f>
        <v>2.3947517287428107E-2</v>
      </c>
      <c r="I133" s="87">
        <f>EXP(-EXP(-(C133-Dataset!D$59)/Dataset!D$58))</f>
        <v>1.166517796988056E-2</v>
      </c>
      <c r="J133" s="86">
        <f>ABS(I133-F133)</f>
        <v>8.3348220301194403E-3</v>
      </c>
    </row>
    <row r="134" spans="1:34" x14ac:dyDescent="0.3">
      <c r="A134" s="81">
        <v>1952</v>
      </c>
      <c r="B134" s="88">
        <v>5.6392517149722501</v>
      </c>
      <c r="C134" s="53">
        <v>5.1912984177393096</v>
      </c>
      <c r="D134" s="53">
        <v>2</v>
      </c>
      <c r="E134" s="86">
        <f t="shared" si="10"/>
        <v>-1.5303499212753278</v>
      </c>
      <c r="F134" s="86">
        <f t="shared" ref="F134:F182" si="11">D134/50</f>
        <v>0.04</v>
      </c>
      <c r="G134" s="86">
        <f>_xlfn.LOGNORM.DIST(C134,Dataset!D$62,Dataset!D$63,TRUE)</f>
        <v>5.3903097889945351E-2</v>
      </c>
      <c r="H134" s="86">
        <f t="shared" ref="H134:H182" si="12">ABS(G134-F134)</f>
        <v>1.390309788994535E-2</v>
      </c>
      <c r="I134" s="87">
        <f>EXP(-EXP(-(C134-Dataset!D$59)/Dataset!D$58))</f>
        <v>1.8367343182540338E-2</v>
      </c>
      <c r="J134" s="86">
        <f t="shared" ref="J134:J182" si="13">ABS(I134-F134)</f>
        <v>2.1632656817459663E-2</v>
      </c>
    </row>
    <row r="135" spans="1:34" x14ac:dyDescent="0.3">
      <c r="A135" s="81">
        <v>1953</v>
      </c>
      <c r="B135" s="88">
        <v>5.9869923327382102</v>
      </c>
      <c r="C135" s="53">
        <v>5.2542718008214901</v>
      </c>
      <c r="D135" s="53">
        <v>3</v>
      </c>
      <c r="E135" s="86">
        <f t="shared" si="10"/>
        <v>-1.4186729348247702</v>
      </c>
      <c r="F135" s="86">
        <f t="shared" si="11"/>
        <v>0.06</v>
      </c>
      <c r="G135" s="86">
        <f>_xlfn.LOGNORM.DIST(C135,Dataset!D$62,Dataset!D$63,TRUE)</f>
        <v>6.9651052332701732E-2</v>
      </c>
      <c r="H135" s="86">
        <f t="shared" si="12"/>
        <v>9.6510523327017345E-3</v>
      </c>
      <c r="I135" s="87">
        <f>EXP(-EXP(-(C135-Dataset!D$59)/Dataset!D$58))</f>
        <v>3.1311754592019576E-2</v>
      </c>
      <c r="J135" s="86">
        <f t="shared" si="13"/>
        <v>2.8688245407980421E-2</v>
      </c>
    </row>
    <row r="136" spans="1:34" x14ac:dyDescent="0.3">
      <c r="A136" s="81">
        <v>1954</v>
      </c>
      <c r="B136" s="88">
        <v>5.8536740991216103</v>
      </c>
      <c r="C136" s="53">
        <v>5.3174910083968596</v>
      </c>
      <c r="D136" s="53">
        <v>4</v>
      </c>
      <c r="E136" s="86">
        <f t="shared" si="10"/>
        <v>-1.3065600032613505</v>
      </c>
      <c r="F136" s="86">
        <f t="shared" si="11"/>
        <v>0.08</v>
      </c>
      <c r="G136" s="86">
        <f>_xlfn.LOGNORM.DIST(C136,Dataset!D$62,Dataset!D$63,TRUE)</f>
        <v>8.855519239192633E-2</v>
      </c>
      <c r="H136" s="86">
        <f t="shared" si="12"/>
        <v>8.5551923919263279E-3</v>
      </c>
      <c r="I136" s="87">
        <f>EXP(-EXP(-(C136-Dataset!D$59)/Dataset!D$58))</f>
        <v>4.979459580418602E-2</v>
      </c>
      <c r="J136" s="86">
        <f t="shared" si="13"/>
        <v>3.0205404195813981E-2</v>
      </c>
    </row>
    <row r="137" spans="1:34" x14ac:dyDescent="0.3">
      <c r="A137" s="81">
        <v>1955</v>
      </c>
      <c r="B137" s="88">
        <v>6.1537962355118703</v>
      </c>
      <c r="C137" s="53">
        <v>5.3307219143120701</v>
      </c>
      <c r="D137" s="53">
        <v>5</v>
      </c>
      <c r="E137" s="86">
        <f t="shared" si="10"/>
        <v>-1.283096317045012</v>
      </c>
      <c r="F137" s="86">
        <f t="shared" si="11"/>
        <v>0.1</v>
      </c>
      <c r="G137" s="86">
        <f>_xlfn.LOGNORM.DIST(C137,Dataset!D$62,Dataset!D$63,TRUE)</f>
        <v>9.292324793234899E-2</v>
      </c>
      <c r="H137" s="86">
        <f t="shared" si="12"/>
        <v>7.0767520676510154E-3</v>
      </c>
      <c r="I137" s="87">
        <f>EXP(-EXP(-(C137-Dataset!D$59)/Dataset!D$58))</f>
        <v>5.4425831478116832E-2</v>
      </c>
      <c r="J137" s="86">
        <f t="shared" si="13"/>
        <v>4.5574168521883174E-2</v>
      </c>
    </row>
    <row r="138" spans="1:34" x14ac:dyDescent="0.3">
      <c r="A138" s="81">
        <v>1956</v>
      </c>
      <c r="B138" s="88">
        <v>7.03953899502027</v>
      </c>
      <c r="C138" s="53">
        <v>5.3695225827029898</v>
      </c>
      <c r="D138" s="53">
        <v>6</v>
      </c>
      <c r="E138" s="86">
        <f t="shared" si="10"/>
        <v>-1.2142872185643008</v>
      </c>
      <c r="F138" s="86">
        <f t="shared" si="11"/>
        <v>0.12</v>
      </c>
      <c r="G138" s="86">
        <f>_xlfn.LOGNORM.DIST(C138,Dataset!D$62,Dataset!D$63,TRUE)</f>
        <v>0.10657822595401502</v>
      </c>
      <c r="H138" s="86">
        <f t="shared" si="12"/>
        <v>1.3421774045984977E-2</v>
      </c>
      <c r="I138" s="87">
        <f>EXP(-EXP(-(C138-Dataset!D$59)/Dataset!D$58))</f>
        <v>6.9597309543811034E-2</v>
      </c>
      <c r="J138" s="86">
        <f t="shared" si="13"/>
        <v>5.0402690456188962E-2</v>
      </c>
    </row>
    <row r="139" spans="1:34" x14ac:dyDescent="0.3">
      <c r="A139" s="81">
        <v>1957</v>
      </c>
      <c r="B139" s="88">
        <v>5.9076714817282197</v>
      </c>
      <c r="C139" s="53">
        <v>5.3975585389241001</v>
      </c>
      <c r="D139" s="53">
        <v>7</v>
      </c>
      <c r="E139" s="86">
        <f t="shared" si="10"/>
        <v>-1.1645682587468262</v>
      </c>
      <c r="F139" s="86">
        <f t="shared" si="11"/>
        <v>0.14000000000000001</v>
      </c>
      <c r="G139" s="86">
        <f>_xlfn.LOGNORM.DIST(C139,Dataset!D$62,Dataset!D$63,TRUE)</f>
        <v>0.11723979390860602</v>
      </c>
      <c r="H139" s="86">
        <f t="shared" si="12"/>
        <v>2.2760206091393995E-2</v>
      </c>
      <c r="I139" s="87">
        <f>EXP(-EXP(-(C139-Dataset!D$59)/Dataset!D$58))</f>
        <v>8.2052984238834059E-2</v>
      </c>
      <c r="J139" s="86">
        <f t="shared" si="13"/>
        <v>5.7947015761165954E-2</v>
      </c>
      <c r="W139" s="1"/>
    </row>
    <row r="140" spans="1:34" x14ac:dyDescent="0.3">
      <c r="A140" s="81">
        <v>1958</v>
      </c>
      <c r="B140" s="88">
        <v>5.6588472298944499</v>
      </c>
      <c r="C140" s="53">
        <v>5.4734937675051301</v>
      </c>
      <c r="D140" s="53">
        <v>8</v>
      </c>
      <c r="E140" s="86">
        <f t="shared" si="10"/>
        <v>-1.0299047377748476</v>
      </c>
      <c r="F140" s="86">
        <f t="shared" si="11"/>
        <v>0.16</v>
      </c>
      <c r="G140" s="86">
        <f>_xlfn.LOGNORM.DIST(C140,Dataset!D$62,Dataset!D$63,TRUE)</f>
        <v>0.14950016346651074</v>
      </c>
      <c r="H140" s="86">
        <f t="shared" si="12"/>
        <v>1.0499836533489265E-2</v>
      </c>
      <c r="I140" s="87">
        <f>EXP(-EXP(-(C140-Dataset!D$59)/Dataset!D$58))</f>
        <v>0.12199572762801734</v>
      </c>
      <c r="J140" s="86">
        <f t="shared" si="13"/>
        <v>3.8004272371982659E-2</v>
      </c>
    </row>
    <row r="141" spans="1:34" x14ac:dyDescent="0.3">
      <c r="A141" s="81">
        <v>1959</v>
      </c>
      <c r="B141" s="88">
        <v>5.7996437807189203</v>
      </c>
      <c r="C141" s="53">
        <v>5.5445215100715801</v>
      </c>
      <c r="D141" s="53">
        <v>9</v>
      </c>
      <c r="E141" s="86">
        <f t="shared" si="10"/>
        <v>-0.90394415163553166</v>
      </c>
      <c r="F141" s="86">
        <f t="shared" si="11"/>
        <v>0.18</v>
      </c>
      <c r="G141" s="86">
        <f>_xlfn.LOGNORM.DIST(C141,Dataset!D$62,Dataset!D$63,TRUE)</f>
        <v>0.18409977546253017</v>
      </c>
      <c r="H141" s="86">
        <f t="shared" si="12"/>
        <v>4.0997754625301808E-3</v>
      </c>
      <c r="I141" s="87">
        <f>EXP(-EXP(-(C141-Dataset!D$59)/Dataset!D$58))</f>
        <v>0.16697181547606071</v>
      </c>
      <c r="J141" s="86">
        <f t="shared" si="13"/>
        <v>1.3028184523939279E-2</v>
      </c>
    </row>
    <row r="142" spans="1:34" x14ac:dyDescent="0.3">
      <c r="A142" s="81">
        <v>1960</v>
      </c>
      <c r="B142" s="88">
        <v>6.2990804962834899</v>
      </c>
      <c r="C142" s="53">
        <v>5.5830704712522703</v>
      </c>
      <c r="D142" s="53">
        <v>10</v>
      </c>
      <c r="E142" s="86">
        <f t="shared" si="10"/>
        <v>-0.83558143067704482</v>
      </c>
      <c r="F142" s="86">
        <f t="shared" si="11"/>
        <v>0.2</v>
      </c>
      <c r="G142" s="86">
        <f>_xlfn.LOGNORM.DIST(C142,Dataset!D$62,Dataset!D$63,TRUE)</f>
        <v>0.20460039858184331</v>
      </c>
      <c r="H142" s="86">
        <f t="shared" si="12"/>
        <v>4.6003985818433013E-3</v>
      </c>
      <c r="I142" s="87">
        <f>EXP(-EXP(-(C142-Dataset!D$59)/Dataset!D$58))</f>
        <v>0.19404365346444385</v>
      </c>
      <c r="J142" s="86">
        <f t="shared" si="13"/>
        <v>5.9563465355561562E-3</v>
      </c>
    </row>
    <row r="143" spans="1:34" x14ac:dyDescent="0.3">
      <c r="A143" s="81">
        <v>1961</v>
      </c>
      <c r="B143" s="88">
        <v>5.9665011166300204</v>
      </c>
      <c r="C143" s="53">
        <v>5.5960167534385103</v>
      </c>
      <c r="D143" s="53">
        <v>11</v>
      </c>
      <c r="E143" s="86">
        <f t="shared" si="10"/>
        <v>-0.81262249613145998</v>
      </c>
      <c r="F143" s="86">
        <f t="shared" si="11"/>
        <v>0.22</v>
      </c>
      <c r="G143" s="86">
        <f>_xlfn.LOGNORM.DIST(C143,Dataset!D$62,Dataset!D$63,TRUE)</f>
        <v>0.21174551280187248</v>
      </c>
      <c r="H143" s="86">
        <f t="shared" si="12"/>
        <v>8.2544871981275192E-3</v>
      </c>
      <c r="I143" s="87">
        <f>EXP(-EXP(-(C143-Dataset!D$59)/Dataset!D$58))</f>
        <v>0.20349916759245365</v>
      </c>
      <c r="J143" s="86">
        <f t="shared" si="13"/>
        <v>1.6500832407546351E-2</v>
      </c>
    </row>
    <row r="144" spans="1:34" x14ac:dyDescent="0.3">
      <c r="A144" s="81">
        <v>1962</v>
      </c>
      <c r="B144" s="88">
        <v>7.2242853340464697</v>
      </c>
      <c r="C144" s="53">
        <v>5.5983876702014497</v>
      </c>
      <c r="D144" s="53">
        <v>12</v>
      </c>
      <c r="E144" s="86">
        <f t="shared" si="10"/>
        <v>-0.80841791276225072</v>
      </c>
      <c r="F144" s="86">
        <f t="shared" si="11"/>
        <v>0.24</v>
      </c>
      <c r="G144" s="86">
        <f>_xlfn.LOGNORM.DIST(C144,Dataset!D$62,Dataset!D$63,TRUE)</f>
        <v>0.21306785951974946</v>
      </c>
      <c r="H144" s="86">
        <f t="shared" si="12"/>
        <v>2.6932140480250527E-2</v>
      </c>
      <c r="I144" s="87">
        <f>EXP(-EXP(-(C144-Dataset!D$59)/Dataset!D$58))</f>
        <v>0.20524912416175636</v>
      </c>
      <c r="J144" s="86">
        <f t="shared" si="13"/>
        <v>3.4750875838243628E-2</v>
      </c>
    </row>
    <row r="145" spans="1:10" x14ac:dyDescent="0.3">
      <c r="A145" s="81">
        <v>1963</v>
      </c>
      <c r="B145" s="88">
        <v>7.3181837589084298</v>
      </c>
      <c r="C145" s="53">
        <v>5.6247023703662604</v>
      </c>
      <c r="D145" s="53">
        <v>13</v>
      </c>
      <c r="E145" s="86">
        <f t="shared" si="10"/>
        <v>-0.76175142813141905</v>
      </c>
      <c r="F145" s="86">
        <f t="shared" si="11"/>
        <v>0.26</v>
      </c>
      <c r="G145" s="86">
        <f>_xlfn.LOGNORM.DIST(C145,Dataset!D$62,Dataset!D$63,TRUE)</f>
        <v>0.22802567843241237</v>
      </c>
      <c r="H145" s="86">
        <f t="shared" si="12"/>
        <v>3.1974321567587644E-2</v>
      </c>
      <c r="I145" s="87">
        <f>EXP(-EXP(-(C145-Dataset!D$59)/Dataset!D$58))</f>
        <v>0.22502766074310754</v>
      </c>
      <c r="J145" s="86">
        <f t="shared" si="13"/>
        <v>3.4972339256892471E-2</v>
      </c>
    </row>
    <row r="146" spans="1:10" x14ac:dyDescent="0.3">
      <c r="A146" s="81">
        <v>1964</v>
      </c>
      <c r="B146" s="88">
        <v>7.4587046327377697</v>
      </c>
      <c r="C146" s="53">
        <v>5.6392517149722501</v>
      </c>
      <c r="D146" s="53">
        <v>14</v>
      </c>
      <c r="E146" s="86">
        <f t="shared" si="10"/>
        <v>-0.73594962297340183</v>
      </c>
      <c r="F146" s="86">
        <f t="shared" si="11"/>
        <v>0.28000000000000003</v>
      </c>
      <c r="G146" s="86">
        <f>_xlfn.LOGNORM.DIST(C146,Dataset!D$62,Dataset!D$63,TRUE)</f>
        <v>0.23651178328526251</v>
      </c>
      <c r="H146" s="86">
        <f t="shared" si="12"/>
        <v>4.3488216714737515E-2</v>
      </c>
      <c r="I146" s="87">
        <f>EXP(-EXP(-(C146-Dataset!D$59)/Dataset!D$58))</f>
        <v>0.23622257373907168</v>
      </c>
      <c r="J146" s="86">
        <f t="shared" si="13"/>
        <v>4.3777426260928343E-2</v>
      </c>
    </row>
    <row r="147" spans="1:10" x14ac:dyDescent="0.3">
      <c r="A147" s="81">
        <v>1965</v>
      </c>
      <c r="B147" s="88">
        <v>6.1210384002356903</v>
      </c>
      <c r="C147" s="53">
        <v>5.6588472298944499</v>
      </c>
      <c r="D147" s="53">
        <v>15</v>
      </c>
      <c r="E147" s="86">
        <f t="shared" si="10"/>
        <v>-0.70119894026667207</v>
      </c>
      <c r="F147" s="86">
        <f t="shared" si="11"/>
        <v>0.3</v>
      </c>
      <c r="G147" s="86">
        <f>_xlfn.LOGNORM.DIST(C147,Dataset!D$62,Dataset!D$63,TRUE)</f>
        <v>0.24817488770320406</v>
      </c>
      <c r="H147" s="86">
        <f t="shared" si="12"/>
        <v>5.1825112296795928E-2</v>
      </c>
      <c r="I147" s="87">
        <f>EXP(-EXP(-(C147-Dataset!D$59)/Dataset!D$58))</f>
        <v>0.25155872731537054</v>
      </c>
      <c r="J147" s="86">
        <f t="shared" si="13"/>
        <v>4.8441272684629444E-2</v>
      </c>
    </row>
    <row r="148" spans="1:10" x14ac:dyDescent="0.3">
      <c r="A148" s="81">
        <v>1966</v>
      </c>
      <c r="B148" s="88">
        <v>6.2179577168906297</v>
      </c>
      <c r="C148" s="53">
        <v>5.73262578368319</v>
      </c>
      <c r="D148" s="53">
        <v>16</v>
      </c>
      <c r="E148" s="86">
        <f t="shared" si="10"/>
        <v>-0.57036006599094113</v>
      </c>
      <c r="F148" s="86">
        <f t="shared" si="11"/>
        <v>0.32</v>
      </c>
      <c r="G148" s="86">
        <f>_xlfn.LOGNORM.DIST(C148,Dataset!D$62,Dataset!D$63,TRUE)</f>
        <v>0.29429956035477256</v>
      </c>
      <c r="H148" s="86">
        <f t="shared" si="12"/>
        <v>2.5700439645227446E-2</v>
      </c>
      <c r="I148" s="87">
        <f>EXP(-EXP(-(C148-Dataset!D$59)/Dataset!D$58))</f>
        <v>0.31133812583358866</v>
      </c>
      <c r="J148" s="86">
        <f t="shared" si="13"/>
        <v>8.661874166411343E-3</v>
      </c>
    </row>
    <row r="149" spans="1:10" x14ac:dyDescent="0.3">
      <c r="A149" s="81">
        <v>1967</v>
      </c>
      <c r="B149" s="88">
        <v>5.73262578368319</v>
      </c>
      <c r="C149" s="53">
        <v>5.7996437807189203</v>
      </c>
      <c r="D149" s="53">
        <v>17</v>
      </c>
      <c r="E149" s="86">
        <f t="shared" si="10"/>
        <v>-0.45151036186855614</v>
      </c>
      <c r="F149" s="86">
        <f t="shared" si="11"/>
        <v>0.34</v>
      </c>
      <c r="G149" s="86">
        <f>_xlfn.LOGNORM.DIST(C149,Dataset!D$62,Dataset!D$63,TRUE)</f>
        <v>0.33877536390206747</v>
      </c>
      <c r="H149" s="86">
        <f t="shared" si="12"/>
        <v>1.2246360979325521E-3</v>
      </c>
      <c r="I149" s="87">
        <f>EXP(-EXP(-(C149-Dataset!D$59)/Dataset!D$58))</f>
        <v>0.36718188941269081</v>
      </c>
      <c r="J149" s="86">
        <f t="shared" si="13"/>
        <v>2.7181889412690785E-2</v>
      </c>
    </row>
    <row r="150" spans="1:10" x14ac:dyDescent="0.3">
      <c r="A150" s="81">
        <v>1968</v>
      </c>
      <c r="B150" s="88">
        <v>6.24220283288739</v>
      </c>
      <c r="C150" s="53">
        <v>5.8536740991216103</v>
      </c>
      <c r="D150" s="53">
        <v>18</v>
      </c>
      <c r="E150" s="86">
        <f t="shared" si="10"/>
        <v>-0.35569300474321003</v>
      </c>
      <c r="F150" s="86">
        <f t="shared" si="11"/>
        <v>0.36</v>
      </c>
      <c r="G150" s="86">
        <f>_xlfn.LOGNORM.DIST(C150,Dataset!D$62,Dataset!D$63,TRUE)</f>
        <v>0.37598923536562601</v>
      </c>
      <c r="H150" s="86">
        <f t="shared" si="12"/>
        <v>1.598923536562602E-2</v>
      </c>
      <c r="I150" s="87">
        <f>EXP(-EXP(-(C150-Dataset!D$59)/Dataset!D$58))</f>
        <v>0.41228651500259156</v>
      </c>
      <c r="J150" s="86">
        <f t="shared" si="13"/>
        <v>5.2286515002591571E-2</v>
      </c>
    </row>
    <row r="151" spans="1:10" x14ac:dyDescent="0.3">
      <c r="A151" s="81">
        <v>1969</v>
      </c>
      <c r="B151" s="88">
        <v>5.9123138854303301</v>
      </c>
      <c r="C151" s="53">
        <v>5.8575262365496696</v>
      </c>
      <c r="D151" s="53">
        <v>19</v>
      </c>
      <c r="E151" s="86">
        <f t="shared" si="10"/>
        <v>-0.34886162490773792</v>
      </c>
      <c r="F151" s="86">
        <f t="shared" si="11"/>
        <v>0.38</v>
      </c>
      <c r="G151" s="86">
        <f>_xlfn.LOGNORM.DIST(C151,Dataset!D$62,Dataset!D$63,TRUE)</f>
        <v>0.37867854011587654</v>
      </c>
      <c r="H151" s="86">
        <f t="shared" si="12"/>
        <v>1.3214598841234659E-3</v>
      </c>
      <c r="I151" s="87">
        <f>EXP(-EXP(-(C151-Dataset!D$59)/Dataset!D$58))</f>
        <v>0.41548556133118852</v>
      </c>
      <c r="J151" s="86">
        <f t="shared" si="13"/>
        <v>3.548556133118852E-2</v>
      </c>
    </row>
    <row r="152" spans="1:10" x14ac:dyDescent="0.3">
      <c r="A152" s="81">
        <v>1970</v>
      </c>
      <c r="B152" s="88">
        <v>5.9312555957355997</v>
      </c>
      <c r="C152" s="53">
        <v>5.9076714817282197</v>
      </c>
      <c r="D152" s="53">
        <v>20</v>
      </c>
      <c r="E152" s="86">
        <f t="shared" si="10"/>
        <v>-0.25993405595282404</v>
      </c>
      <c r="F152" s="86">
        <f t="shared" si="11"/>
        <v>0.4</v>
      </c>
      <c r="G152" s="86">
        <f>_xlfn.LOGNORM.DIST(C152,Dataset!D$62,Dataset!D$63,TRUE)</f>
        <v>0.41401363344661318</v>
      </c>
      <c r="H152" s="86">
        <f t="shared" si="12"/>
        <v>1.4013633446613161E-2</v>
      </c>
      <c r="I152" s="87">
        <f>EXP(-EXP(-(C152-Dataset!D$59)/Dataset!D$58))</f>
        <v>0.45674380805164255</v>
      </c>
      <c r="J152" s="86">
        <f t="shared" si="13"/>
        <v>5.674380805164253E-2</v>
      </c>
    </row>
    <row r="153" spans="1:10" x14ac:dyDescent="0.3">
      <c r="A153" s="81">
        <v>1971</v>
      </c>
      <c r="B153" s="88">
        <v>5.3975585389241001</v>
      </c>
      <c r="C153" s="53">
        <v>5.9123138854303301</v>
      </c>
      <c r="D153" s="53">
        <v>21</v>
      </c>
      <c r="E153" s="86">
        <f t="shared" si="10"/>
        <v>-0.25170121804633855</v>
      </c>
      <c r="F153" s="86">
        <f t="shared" si="11"/>
        <v>0.42</v>
      </c>
      <c r="G153" s="86">
        <f>_xlfn.LOGNORM.DIST(C153,Dataset!D$62,Dataset!D$63,TRUE)</f>
        <v>0.41730986441306012</v>
      </c>
      <c r="H153" s="86">
        <f t="shared" si="12"/>
        <v>2.690135586939868E-3</v>
      </c>
      <c r="I153" s="87">
        <f>EXP(-EXP(-(C153-Dataset!D$59)/Dataset!D$58))</f>
        <v>0.46051879436530863</v>
      </c>
      <c r="J153" s="86">
        <f t="shared" si="13"/>
        <v>4.0518794365308641E-2</v>
      </c>
    </row>
    <row r="154" spans="1:10" x14ac:dyDescent="0.3">
      <c r="A154" s="81">
        <v>1972</v>
      </c>
      <c r="B154" s="88">
        <v>6.3845877516867704</v>
      </c>
      <c r="C154" s="53">
        <v>5.9312555957355997</v>
      </c>
      <c r="D154" s="53">
        <v>22</v>
      </c>
      <c r="E154" s="86">
        <f t="shared" si="10"/>
        <v>-0.21810999233195327</v>
      </c>
      <c r="F154" s="86">
        <f t="shared" si="11"/>
        <v>0.44</v>
      </c>
      <c r="G154" s="86">
        <f>_xlfn.LOGNORM.DIST(C154,Dataset!D$62,Dataset!D$63,TRUE)</f>
        <v>0.43078993811456057</v>
      </c>
      <c r="H154" s="86">
        <f t="shared" si="12"/>
        <v>9.2100618854394356E-3</v>
      </c>
      <c r="I154" s="87">
        <f>EXP(-EXP(-(C154-Dataset!D$59)/Dataset!D$58))</f>
        <v>0.47582545790317621</v>
      </c>
      <c r="J154" s="86">
        <f t="shared" si="13"/>
        <v>3.5825457903176205E-2</v>
      </c>
    </row>
    <row r="155" spans="1:10" x14ac:dyDescent="0.3">
      <c r="A155" s="81">
        <v>1973</v>
      </c>
      <c r="B155" s="88">
        <v>6.9968475740583997</v>
      </c>
      <c r="C155" s="53">
        <v>5.9513668899652599</v>
      </c>
      <c r="D155" s="53">
        <v>23</v>
      </c>
      <c r="E155" s="86">
        <f t="shared" si="10"/>
        <v>-0.18244462669234746</v>
      </c>
      <c r="F155" s="86">
        <f t="shared" si="11"/>
        <v>0.46</v>
      </c>
      <c r="G155" s="86">
        <f>_xlfn.LOGNORM.DIST(C155,Dataset!D$62,Dataset!D$63,TRUE)</f>
        <v>0.44514334878448242</v>
      </c>
      <c r="H155" s="86">
        <f t="shared" si="12"/>
        <v>1.4856651215517602E-2</v>
      </c>
      <c r="I155" s="87">
        <f>EXP(-EXP(-(C155-Dataset!D$59)/Dataset!D$58))</f>
        <v>0.49189224589538399</v>
      </c>
      <c r="J155" s="86">
        <f t="shared" si="13"/>
        <v>3.1892245895383975E-2</v>
      </c>
    </row>
    <row r="156" spans="1:10" x14ac:dyDescent="0.3">
      <c r="A156" s="81">
        <v>1974</v>
      </c>
      <c r="B156" s="88">
        <v>5.5983876702014497</v>
      </c>
      <c r="C156" s="53">
        <v>5.9553127734416398</v>
      </c>
      <c r="D156" s="53">
        <v>24</v>
      </c>
      <c r="E156" s="86">
        <f t="shared" si="10"/>
        <v>-0.17544699763131877</v>
      </c>
      <c r="F156" s="86">
        <f t="shared" si="11"/>
        <v>0.48</v>
      </c>
      <c r="G156" s="86">
        <f>_xlfn.LOGNORM.DIST(C156,Dataset!D$62,Dataset!D$63,TRUE)</f>
        <v>0.44796288017689406</v>
      </c>
      <c r="H156" s="86">
        <f t="shared" si="12"/>
        <v>3.203711982310592E-2</v>
      </c>
      <c r="I156" s="87">
        <f>EXP(-EXP(-(C156-Dataset!D$59)/Dataset!D$58))</f>
        <v>0.49502036576319908</v>
      </c>
      <c r="J156" s="86">
        <f t="shared" si="13"/>
        <v>1.5020365763199095E-2</v>
      </c>
    </row>
    <row r="157" spans="1:10" x14ac:dyDescent="0.3">
      <c r="A157" s="81">
        <v>1975</v>
      </c>
      <c r="B157" s="88">
        <v>5.8575262365496696</v>
      </c>
      <c r="C157" s="53">
        <v>5.9665011166300204</v>
      </c>
      <c r="D157" s="53">
        <v>25</v>
      </c>
      <c r="E157" s="86">
        <f t="shared" si="10"/>
        <v>-0.15560559179446881</v>
      </c>
      <c r="F157" s="86">
        <f t="shared" si="11"/>
        <v>0.5</v>
      </c>
      <c r="G157" s="86">
        <f>_xlfn.LOGNORM.DIST(C157,Dataset!D$62,Dataset!D$63,TRUE)</f>
        <v>0.45596117453211837</v>
      </c>
      <c r="H157" s="86">
        <f t="shared" si="12"/>
        <v>4.4038825467881626E-2</v>
      </c>
      <c r="I157" s="87">
        <f>EXP(-EXP(-(C157-Dataset!D$59)/Dataset!D$58))</f>
        <v>0.50384422083044611</v>
      </c>
      <c r="J157" s="86">
        <f t="shared" si="13"/>
        <v>3.8442208304461101E-3</v>
      </c>
    </row>
    <row r="158" spans="1:10" x14ac:dyDescent="0.3">
      <c r="A158" s="81">
        <v>1976</v>
      </c>
      <c r="B158" s="88">
        <v>5.6247023703662604</v>
      </c>
      <c r="C158" s="53">
        <v>5.9869923327382102</v>
      </c>
      <c r="D158" s="53">
        <v>26</v>
      </c>
      <c r="E158" s="86">
        <f t="shared" si="10"/>
        <v>-0.11926647276248994</v>
      </c>
      <c r="F158" s="86">
        <f t="shared" si="11"/>
        <v>0.52</v>
      </c>
      <c r="G158" s="86">
        <f>_xlfn.LOGNORM.DIST(C158,Dataset!D$62,Dataset!D$63,TRUE)</f>
        <v>0.47061494615596</v>
      </c>
      <c r="H158" s="86">
        <f t="shared" si="12"/>
        <v>4.9385053844040017E-2</v>
      </c>
      <c r="I158" s="87">
        <f>EXP(-EXP(-(C158-Dataset!D$59)/Dataset!D$58))</f>
        <v>0.51982022763259661</v>
      </c>
      <c r="J158" s="86">
        <f t="shared" si="13"/>
        <v>1.7977236740340796E-4</v>
      </c>
    </row>
    <row r="159" spans="1:10" x14ac:dyDescent="0.3">
      <c r="A159" s="81">
        <v>1977</v>
      </c>
      <c r="B159" s="88">
        <v>6.5899343930729701</v>
      </c>
      <c r="C159" s="53">
        <v>6.0492789165268404</v>
      </c>
      <c r="D159" s="53">
        <v>27</v>
      </c>
      <c r="E159" s="86">
        <f t="shared" si="10"/>
        <v>-8.8074560579754803E-3</v>
      </c>
      <c r="F159" s="86">
        <f t="shared" si="11"/>
        <v>0.54</v>
      </c>
      <c r="G159" s="86">
        <f>_xlfn.LOGNORM.DIST(C159,Dataset!D$62,Dataset!D$63,TRUE)</f>
        <v>0.51501225617512336</v>
      </c>
      <c r="H159" s="86">
        <f t="shared" si="12"/>
        <v>2.4987743824876674E-2</v>
      </c>
      <c r="I159" s="87">
        <f>EXP(-EXP(-(C159-Dataset!D$59)/Dataset!D$58))</f>
        <v>0.56674449063290289</v>
      </c>
      <c r="J159" s="86">
        <f t="shared" si="13"/>
        <v>2.6744490632902851E-2</v>
      </c>
    </row>
    <row r="160" spans="1:10" x14ac:dyDescent="0.3">
      <c r="A160" s="81">
        <v>1978</v>
      </c>
      <c r="B160" s="88">
        <v>6.5308313637146496</v>
      </c>
      <c r="C160" s="53">
        <v>6.1117997443089198</v>
      </c>
      <c r="D160" s="53">
        <v>28</v>
      </c>
      <c r="E160" s="86">
        <f t="shared" si="10"/>
        <v>0.1020669689032055</v>
      </c>
      <c r="F160" s="86">
        <f t="shared" si="11"/>
        <v>0.56000000000000005</v>
      </c>
      <c r="G160" s="86">
        <f>_xlfn.LOGNORM.DIST(C160,Dataset!D$62,Dataset!D$63,TRUE)</f>
        <v>0.55893665141248938</v>
      </c>
      <c r="H160" s="86">
        <f t="shared" si="12"/>
        <v>1.0633485875106707E-3</v>
      </c>
      <c r="I160" s="87">
        <f>EXP(-EXP(-(C160-Dataset!D$59)/Dataset!D$58))</f>
        <v>0.61105092600441768</v>
      </c>
      <c r="J160" s="86">
        <f t="shared" si="13"/>
        <v>5.1050926004417629E-2</v>
      </c>
    </row>
    <row r="161" spans="1:10" x14ac:dyDescent="0.3">
      <c r="A161" s="81">
        <v>1979</v>
      </c>
      <c r="B161" s="88">
        <v>6.1117997443089198</v>
      </c>
      <c r="C161" s="53">
        <v>6.1210384002356903</v>
      </c>
      <c r="D161" s="53">
        <v>29</v>
      </c>
      <c r="E161" s="86">
        <f t="shared" si="10"/>
        <v>0.11845079969420626</v>
      </c>
      <c r="F161" s="86">
        <f t="shared" si="11"/>
        <v>0.57999999999999996</v>
      </c>
      <c r="G161" s="86">
        <f>_xlfn.LOGNORM.DIST(C161,Dataset!D$62,Dataset!D$63,TRUE)</f>
        <v>0.56534152520648207</v>
      </c>
      <c r="H161" s="86">
        <f t="shared" si="12"/>
        <v>1.4658474793517895E-2</v>
      </c>
      <c r="I161" s="87">
        <f>EXP(-EXP(-(C161-Dataset!D$59)/Dataset!D$58))</f>
        <v>0.61734191899259128</v>
      </c>
      <c r="J161" s="86">
        <f t="shared" si="13"/>
        <v>3.7341918992591316E-2</v>
      </c>
    </row>
    <row r="162" spans="1:10" x14ac:dyDescent="0.3">
      <c r="A162" s="81">
        <v>1980</v>
      </c>
      <c r="B162" s="88">
        <v>5.14400381869177</v>
      </c>
      <c r="C162" s="53">
        <v>6.1213525840690997</v>
      </c>
      <c r="D162" s="53">
        <v>30</v>
      </c>
      <c r="E162" s="86">
        <f t="shared" si="10"/>
        <v>0.11900797324895791</v>
      </c>
      <c r="F162" s="86">
        <f t="shared" si="11"/>
        <v>0.6</v>
      </c>
      <c r="G162" s="86">
        <f>_xlfn.LOGNORM.DIST(C162,Dataset!D$62,Dataset!D$63,TRUE)</f>
        <v>0.56555887795182003</v>
      </c>
      <c r="H162" s="86">
        <f t="shared" si="12"/>
        <v>3.4441122048179951E-2</v>
      </c>
      <c r="I162" s="87">
        <f>EXP(-EXP(-(C162-Dataset!D$59)/Dataset!D$58))</f>
        <v>0.61755466683520288</v>
      </c>
      <c r="J162" s="86">
        <f t="shared" si="13"/>
        <v>1.7554666835202903E-2</v>
      </c>
    </row>
    <row r="163" spans="1:10" x14ac:dyDescent="0.3">
      <c r="A163" s="81">
        <v>1981</v>
      </c>
      <c r="B163" s="88">
        <v>6.5247305272646701</v>
      </c>
      <c r="C163" s="53">
        <v>6.1491916277708203</v>
      </c>
      <c r="D163" s="53">
        <v>31</v>
      </c>
      <c r="E163" s="86">
        <f t="shared" si="10"/>
        <v>0.16837772843927859</v>
      </c>
      <c r="F163" s="86">
        <f t="shared" si="11"/>
        <v>0.62</v>
      </c>
      <c r="G163" s="86">
        <f>_xlfn.LOGNORM.DIST(C163,Dataset!D$62,Dataset!D$63,TRUE)</f>
        <v>0.58468812510588619</v>
      </c>
      <c r="H163" s="86">
        <f t="shared" si="12"/>
        <v>3.5311874894113804E-2</v>
      </c>
      <c r="I163" s="87">
        <f>EXP(-EXP(-(C163-Dataset!D$59)/Dataset!D$58))</f>
        <v>0.63609064866899867</v>
      </c>
      <c r="J163" s="86">
        <f t="shared" si="13"/>
        <v>1.6090648668998675E-2</v>
      </c>
    </row>
    <row r="164" spans="1:10" x14ac:dyDescent="0.3">
      <c r="A164" s="81">
        <v>1982</v>
      </c>
      <c r="B164" s="88">
        <v>5.3174910083968596</v>
      </c>
      <c r="C164" s="53">
        <v>6.1537962355118703</v>
      </c>
      <c r="D164" s="53">
        <v>32</v>
      </c>
      <c r="E164" s="86">
        <f t="shared" si="10"/>
        <v>0.17654353899508596</v>
      </c>
      <c r="F164" s="86">
        <f t="shared" si="11"/>
        <v>0.64</v>
      </c>
      <c r="G164" s="86">
        <f>_xlfn.LOGNORM.DIST(C164,Dataset!D$62,Dataset!D$63,TRUE)</f>
        <v>0.58782583806139244</v>
      </c>
      <c r="H164" s="86">
        <f t="shared" si="12"/>
        <v>5.2174161938607577E-2</v>
      </c>
      <c r="I164" s="87">
        <f>EXP(-EXP(-(C164-Dataset!D$59)/Dataset!D$58))</f>
        <v>0.63909595787719986</v>
      </c>
      <c r="J164" s="86">
        <f t="shared" si="13"/>
        <v>9.0404212280015273E-4</v>
      </c>
    </row>
    <row r="165" spans="1:10" x14ac:dyDescent="0.3">
      <c r="A165" s="81">
        <v>1983</v>
      </c>
      <c r="B165" s="88">
        <v>7.1491291608963099</v>
      </c>
      <c r="C165" s="53">
        <v>6.1833512633995902</v>
      </c>
      <c r="D165" s="53">
        <v>33</v>
      </c>
      <c r="E165" s="86">
        <f t="shared" ref="E165:E182" si="14">(C165-B$184)/B$185</f>
        <v>0.22895642023818874</v>
      </c>
      <c r="F165" s="86">
        <f t="shared" si="11"/>
        <v>0.66</v>
      </c>
      <c r="G165" s="86">
        <f>_xlfn.LOGNORM.DIST(C165,Dataset!D$62,Dataset!D$63,TRUE)</f>
        <v>0.60776885857636298</v>
      </c>
      <c r="H165" s="86">
        <f t="shared" si="12"/>
        <v>5.2231141423637051E-2</v>
      </c>
      <c r="I165" s="87">
        <f>EXP(-EXP(-(C165-Dataset!D$59)/Dataset!D$58))</f>
        <v>0.65797130502297541</v>
      </c>
      <c r="J165" s="86">
        <f t="shared" si="13"/>
        <v>2.0286949770246254E-3</v>
      </c>
    </row>
    <row r="166" spans="1:10" x14ac:dyDescent="0.3">
      <c r="A166" s="81">
        <v>1984</v>
      </c>
      <c r="B166" s="88">
        <v>5.5445215100715801</v>
      </c>
      <c r="C166" s="53">
        <v>6.2179577168906297</v>
      </c>
      <c r="D166" s="53">
        <v>34</v>
      </c>
      <c r="E166" s="86">
        <f t="shared" si="14"/>
        <v>0.29032749875523717</v>
      </c>
      <c r="F166" s="86">
        <f t="shared" si="11"/>
        <v>0.68</v>
      </c>
      <c r="G166" s="86">
        <f>_xlfn.LOGNORM.DIST(C166,Dataset!D$62,Dataset!D$63,TRUE)</f>
        <v>0.63064433814520227</v>
      </c>
      <c r="H166" s="86">
        <f t="shared" si="12"/>
        <v>4.9355661854797783E-2</v>
      </c>
      <c r="I166" s="87">
        <f>EXP(-EXP(-(C166-Dataset!D$59)/Dataset!D$58))</f>
        <v>0.67915320798290779</v>
      </c>
      <c r="J166" s="86">
        <f t="shared" si="13"/>
        <v>8.4679201709225715E-4</v>
      </c>
    </row>
    <row r="167" spans="1:10" x14ac:dyDescent="0.3">
      <c r="A167" s="81">
        <v>1985</v>
      </c>
      <c r="B167" s="88">
        <v>5.9513668899652599</v>
      </c>
      <c r="C167" s="53">
        <v>6.2244062125944897</v>
      </c>
      <c r="D167" s="53">
        <v>35</v>
      </c>
      <c r="E167" s="86">
        <f t="shared" si="14"/>
        <v>0.30176325989906283</v>
      </c>
      <c r="F167" s="86">
        <f t="shared" si="11"/>
        <v>0.7</v>
      </c>
      <c r="G167" s="86">
        <f>_xlfn.LOGNORM.DIST(C167,Dataset!D$62,Dataset!D$63,TRUE)</f>
        <v>0.63484505927997659</v>
      </c>
      <c r="H167" s="86">
        <f t="shared" si="12"/>
        <v>6.5154940720023369E-2</v>
      </c>
      <c r="I167" s="87">
        <f>EXP(-EXP(-(C167-Dataset!D$59)/Dataset!D$58))</f>
        <v>0.68298998807363653</v>
      </c>
      <c r="J167" s="86">
        <f t="shared" si="13"/>
        <v>1.7010011926363422E-2</v>
      </c>
    </row>
    <row r="168" spans="1:10" x14ac:dyDescent="0.3">
      <c r="A168" s="81">
        <v>1986</v>
      </c>
      <c r="B168" s="88">
        <v>5.3307219143120701</v>
      </c>
      <c r="C168" s="53">
        <v>6.24220283288739</v>
      </c>
      <c r="D168" s="53">
        <v>36</v>
      </c>
      <c r="E168" s="86">
        <f t="shared" si="14"/>
        <v>0.3333237831874859</v>
      </c>
      <c r="F168" s="86">
        <f t="shared" si="11"/>
        <v>0.72</v>
      </c>
      <c r="G168" s="86">
        <f>_xlfn.LOGNORM.DIST(C168,Dataset!D$62,Dataset!D$63,TRUE)</f>
        <v>0.6463309869642877</v>
      </c>
      <c r="H168" s="86">
        <f t="shared" si="12"/>
        <v>7.3669013035712272E-2</v>
      </c>
      <c r="I168" s="87">
        <f>EXP(-EXP(-(C168-Dataset!D$59)/Dataset!D$58))</f>
        <v>0.69339897037326315</v>
      </c>
      <c r="J168" s="86">
        <f t="shared" si="13"/>
        <v>2.6601029626736827E-2</v>
      </c>
    </row>
    <row r="169" spans="1:10" x14ac:dyDescent="0.3">
      <c r="A169" s="81">
        <v>1987</v>
      </c>
      <c r="B169" s="88">
        <v>6.4020702594783598</v>
      </c>
      <c r="C169" s="53">
        <v>6.2480070778607297</v>
      </c>
      <c r="D169" s="53">
        <v>37</v>
      </c>
      <c r="E169" s="86">
        <f t="shared" si="14"/>
        <v>0.34361703019944134</v>
      </c>
      <c r="F169" s="86">
        <f t="shared" si="11"/>
        <v>0.74</v>
      </c>
      <c r="G169" s="86">
        <f>_xlfn.LOGNORM.DIST(C169,Dataset!D$62,Dataset!D$63,TRUE)</f>
        <v>0.6500419960861672</v>
      </c>
      <c r="H169" s="86">
        <f t="shared" si="12"/>
        <v>8.9958003913832796E-2</v>
      </c>
      <c r="I169" s="87">
        <f>EXP(-EXP(-(C169-Dataset!D$59)/Dataset!D$58))</f>
        <v>0.69673674370686611</v>
      </c>
      <c r="J169" s="86">
        <f t="shared" si="13"/>
        <v>4.3263256293133878E-2</v>
      </c>
    </row>
    <row r="170" spans="1:10" x14ac:dyDescent="0.3">
      <c r="A170" s="81">
        <v>1988</v>
      </c>
      <c r="B170" s="88">
        <v>6.2244062125944897</v>
      </c>
      <c r="C170" s="53">
        <v>6.2990804962834899</v>
      </c>
      <c r="D170" s="53">
        <v>38</v>
      </c>
      <c r="E170" s="86">
        <f t="shared" si="14"/>
        <v>0.43419062142192422</v>
      </c>
      <c r="F170" s="86">
        <f t="shared" si="11"/>
        <v>0.76</v>
      </c>
      <c r="G170" s="86">
        <f>_xlfn.LOGNORM.DIST(C170,Dataset!D$62,Dataset!D$63,TRUE)</f>
        <v>0.68190443797917288</v>
      </c>
      <c r="H170" s="86">
        <f t="shared" si="12"/>
        <v>7.8095562020827125E-2</v>
      </c>
      <c r="I170" s="87">
        <f>EXP(-EXP(-(C170-Dataset!D$59)/Dataset!D$58))</f>
        <v>0.72490313780588955</v>
      </c>
      <c r="J170" s="86">
        <f t="shared" si="13"/>
        <v>3.5096862194110456E-2</v>
      </c>
    </row>
    <row r="171" spans="1:10" x14ac:dyDescent="0.3">
      <c r="A171" s="81">
        <v>1989</v>
      </c>
      <c r="B171" s="88">
        <v>6.3939166393495004</v>
      </c>
      <c r="C171" s="53">
        <v>6.3845877516867704</v>
      </c>
      <c r="D171" s="53">
        <v>39</v>
      </c>
      <c r="E171" s="86">
        <f t="shared" si="14"/>
        <v>0.58582917307214744</v>
      </c>
      <c r="F171" s="86">
        <f t="shared" si="11"/>
        <v>0.78</v>
      </c>
      <c r="G171" s="86">
        <f>_xlfn.LOGNORM.DIST(C171,Dataset!D$62,Dataset!D$63,TRUE)</f>
        <v>0.73174803596298388</v>
      </c>
      <c r="H171" s="86">
        <f t="shared" si="12"/>
        <v>4.8251964037016148E-2</v>
      </c>
      <c r="I171" s="87">
        <f>EXP(-EXP(-(C171-Dataset!D$59)/Dataset!D$58))</f>
        <v>0.76731667285142779</v>
      </c>
      <c r="J171" s="86">
        <f t="shared" si="13"/>
        <v>1.2683327148572232E-2</v>
      </c>
    </row>
    <row r="172" spans="1:10" x14ac:dyDescent="0.3">
      <c r="A172" s="81">
        <v>1990</v>
      </c>
      <c r="B172" s="88">
        <v>6.2480070778607297</v>
      </c>
      <c r="C172" s="53">
        <v>6.3939166393495004</v>
      </c>
      <c r="D172" s="53">
        <v>40</v>
      </c>
      <c r="E172" s="86">
        <f t="shared" si="14"/>
        <v>0.60237302080778343</v>
      </c>
      <c r="F172" s="86">
        <f t="shared" si="11"/>
        <v>0.8</v>
      </c>
      <c r="G172" s="86">
        <f>_xlfn.LOGNORM.DIST(C172,Dataset!D$62,Dataset!D$63,TRUE)</f>
        <v>0.73690041199560485</v>
      </c>
      <c r="H172" s="86">
        <f t="shared" si="12"/>
        <v>6.3099588004395191E-2</v>
      </c>
      <c r="I172" s="87">
        <f>EXP(-EXP(-(C172-Dataset!D$59)/Dataset!D$58))</f>
        <v>0.77159537471955852</v>
      </c>
      <c r="J172" s="86">
        <f t="shared" si="13"/>
        <v>2.840462528044152E-2</v>
      </c>
    </row>
    <row r="173" spans="1:10" x14ac:dyDescent="0.3">
      <c r="A173" s="81">
        <v>1991</v>
      </c>
      <c r="B173" s="88">
        <v>5.5960167534385103</v>
      </c>
      <c r="C173" s="53">
        <v>6.4020702594783598</v>
      </c>
      <c r="D173" s="53">
        <v>41</v>
      </c>
      <c r="E173" s="86">
        <f t="shared" si="14"/>
        <v>0.61683264930614956</v>
      </c>
      <c r="F173" s="86">
        <f t="shared" si="11"/>
        <v>0.82</v>
      </c>
      <c r="G173" s="86">
        <f>_xlfn.LOGNORM.DIST(C173,Dataset!D$62,Dataset!D$63,TRUE)</f>
        <v>0.74135583337782485</v>
      </c>
      <c r="H173" s="86">
        <f t="shared" si="12"/>
        <v>7.8644166622175105E-2</v>
      </c>
      <c r="I173" s="87">
        <f>EXP(-EXP(-(C173-Dataset!D$59)/Dataset!D$58))</f>
        <v>0.77528037848476883</v>
      </c>
      <c r="J173" s="86">
        <f t="shared" si="13"/>
        <v>4.4719621515231123E-2</v>
      </c>
    </row>
    <row r="174" spans="1:10" x14ac:dyDescent="0.3">
      <c r="A174" s="81">
        <v>1992</v>
      </c>
      <c r="B174" s="88">
        <v>5.5830704712522703</v>
      </c>
      <c r="C174" s="53">
        <v>6.5247305272646701</v>
      </c>
      <c r="D174" s="53">
        <v>42</v>
      </c>
      <c r="E174" s="86">
        <f t="shared" si="14"/>
        <v>0.83435834656330898</v>
      </c>
      <c r="F174" s="86">
        <f t="shared" si="11"/>
        <v>0.84</v>
      </c>
      <c r="G174" s="86">
        <f>_xlfn.LOGNORM.DIST(C174,Dataset!D$62,Dataset!D$63,TRUE)</f>
        <v>0.80281898910337035</v>
      </c>
      <c r="H174" s="86">
        <f t="shared" si="12"/>
        <v>3.7181010896629618E-2</v>
      </c>
      <c r="I174" s="87">
        <f>EXP(-EXP(-(C174-Dataset!D$59)/Dataset!D$58))</f>
        <v>0.82484166782551871</v>
      </c>
      <c r="J174" s="86">
        <f t="shared" si="13"/>
        <v>1.5158332174481259E-2</v>
      </c>
    </row>
    <row r="175" spans="1:10" x14ac:dyDescent="0.3">
      <c r="A175" s="81">
        <v>1993</v>
      </c>
      <c r="B175" s="88">
        <v>5.4734937675051301</v>
      </c>
      <c r="C175" s="53">
        <v>6.5308313637146496</v>
      </c>
      <c r="D175" s="53">
        <v>43</v>
      </c>
      <c r="E175" s="86">
        <f t="shared" si="14"/>
        <v>0.84517756884762396</v>
      </c>
      <c r="F175" s="86">
        <f t="shared" si="11"/>
        <v>0.86</v>
      </c>
      <c r="G175" s="86">
        <f>_xlfn.LOGNORM.DIST(C175,Dataset!D$62,Dataset!D$63,TRUE)</f>
        <v>0.8055983423378531</v>
      </c>
      <c r="H175" s="86">
        <f t="shared" si="12"/>
        <v>5.4401657662146885E-2</v>
      </c>
      <c r="I175" s="87">
        <f>EXP(-EXP(-(C175-Dataset!D$59)/Dataset!D$58))</f>
        <v>0.82703341727951796</v>
      </c>
      <c r="J175" s="86">
        <f t="shared" si="13"/>
        <v>3.2966582720482029E-2</v>
      </c>
    </row>
    <row r="176" spans="1:10" x14ac:dyDescent="0.3">
      <c r="A176" s="81">
        <v>1994</v>
      </c>
      <c r="B176" s="88">
        <v>5.9553127734416398</v>
      </c>
      <c r="C176" s="53">
        <v>6.5899343930729701</v>
      </c>
      <c r="D176" s="53">
        <v>44</v>
      </c>
      <c r="E176" s="86">
        <f t="shared" si="14"/>
        <v>0.94999087068694954</v>
      </c>
      <c r="F176" s="86">
        <f t="shared" si="11"/>
        <v>0.88</v>
      </c>
      <c r="G176" s="86">
        <f>_xlfn.LOGNORM.DIST(C176,Dataset!D$62,Dataset!D$63,TRUE)</f>
        <v>0.83115169797929722</v>
      </c>
      <c r="H176" s="86">
        <f t="shared" si="12"/>
        <v>4.8848302020702783E-2</v>
      </c>
      <c r="I176" s="87">
        <f>EXP(-EXP(-(C176-Dataset!D$59)/Dataset!D$58))</f>
        <v>0.84702761046217534</v>
      </c>
      <c r="J176" s="86">
        <f t="shared" si="13"/>
        <v>3.2972389537824665E-2</v>
      </c>
    </row>
    <row r="177" spans="1:10" x14ac:dyDescent="0.3">
      <c r="A177" s="81">
        <v>1995</v>
      </c>
      <c r="B177" s="88">
        <v>6.1491916277708203</v>
      </c>
      <c r="C177" s="53">
        <v>6.9968475740583997</v>
      </c>
      <c r="D177" s="53">
        <v>45</v>
      </c>
      <c r="E177" s="86">
        <f t="shared" si="14"/>
        <v>1.6716106340742842</v>
      </c>
      <c r="F177" s="86">
        <f t="shared" si="11"/>
        <v>0.9</v>
      </c>
      <c r="G177" s="86">
        <f>_xlfn.LOGNORM.DIST(C177,Dataset!D$62,Dataset!D$63,TRUE)</f>
        <v>0.94557850253454001</v>
      </c>
      <c r="H177" s="86">
        <f t="shared" si="12"/>
        <v>4.5578502534539989E-2</v>
      </c>
      <c r="I177" s="87">
        <f>EXP(-EXP(-(C177-Dataset!D$59)/Dataset!D$58))</f>
        <v>0.93632004744614883</v>
      </c>
      <c r="J177" s="86">
        <f t="shared" si="13"/>
        <v>3.6320047446148807E-2</v>
      </c>
    </row>
    <row r="178" spans="1:10" x14ac:dyDescent="0.3">
      <c r="A178" s="81">
        <v>1996</v>
      </c>
      <c r="B178" s="88">
        <v>5.1912984177393096</v>
      </c>
      <c r="C178" s="53">
        <v>7.03953899502027</v>
      </c>
      <c r="D178" s="53">
        <v>46</v>
      </c>
      <c r="E178" s="86">
        <f t="shared" si="14"/>
        <v>1.7473195924780598</v>
      </c>
      <c r="F178" s="86">
        <f t="shared" si="11"/>
        <v>0.92</v>
      </c>
      <c r="G178" s="86">
        <f>_xlfn.LOGNORM.DIST(C178,Dataset!D$62,Dataset!D$63,TRUE)</f>
        <v>0.95242814250126195</v>
      </c>
      <c r="H178" s="86">
        <f t="shared" si="12"/>
        <v>3.2428142501261914E-2</v>
      </c>
      <c r="I178" s="87">
        <f>EXP(-EXP(-(C178-Dataset!D$59)/Dataset!D$58))</f>
        <v>0.94203844936252612</v>
      </c>
      <c r="J178" s="86">
        <f t="shared" si="13"/>
        <v>2.203844936252608E-2</v>
      </c>
    </row>
    <row r="179" spans="1:10" x14ac:dyDescent="0.3">
      <c r="A179" s="81">
        <v>1997</v>
      </c>
      <c r="B179" s="88">
        <v>5.3695225827029898</v>
      </c>
      <c r="C179" s="53">
        <v>7.1491291608963099</v>
      </c>
      <c r="D179" s="53">
        <v>47</v>
      </c>
      <c r="E179" s="86">
        <f t="shared" si="14"/>
        <v>1.9416667733128785</v>
      </c>
      <c r="F179" s="86">
        <f t="shared" si="11"/>
        <v>0.94</v>
      </c>
      <c r="G179" s="86">
        <f>_xlfn.LOGNORM.DIST(C179,Dataset!D$62,Dataset!D$63,TRUE)</f>
        <v>0.96675333951180442</v>
      </c>
      <c r="H179" s="86">
        <f t="shared" si="12"/>
        <v>2.6753339511804475E-2</v>
      </c>
      <c r="I179" s="87">
        <f>EXP(-EXP(-(C179-Dataset!D$59)/Dataset!D$58))</f>
        <v>0.95453042900027218</v>
      </c>
      <c r="J179" s="86">
        <f t="shared" si="13"/>
        <v>1.4530429000272238E-2</v>
      </c>
    </row>
    <row r="180" spans="1:10" x14ac:dyDescent="0.3">
      <c r="A180" s="81">
        <v>1998</v>
      </c>
      <c r="B180" s="88">
        <v>6.1213525840690997</v>
      </c>
      <c r="C180" s="53">
        <v>7.2242853340464697</v>
      </c>
      <c r="D180" s="53">
        <v>48</v>
      </c>
      <c r="E180" s="86">
        <f t="shared" si="14"/>
        <v>2.0749487175211638</v>
      </c>
      <c r="F180" s="86">
        <f t="shared" si="11"/>
        <v>0.96</v>
      </c>
      <c r="G180" s="86">
        <f>_xlfn.LOGNORM.DIST(C180,Dataset!D$62,Dataset!D$63,TRUE)</f>
        <v>0.97426900531378391</v>
      </c>
      <c r="H180" s="86">
        <f t="shared" si="12"/>
        <v>1.4269005313783945E-2</v>
      </c>
      <c r="I180" s="87">
        <f>EXP(-EXP(-(C180-Dataset!D$59)/Dataset!D$58))</f>
        <v>0.96153575310734607</v>
      </c>
      <c r="J180" s="86">
        <f t="shared" si="13"/>
        <v>1.535753107346105E-3</v>
      </c>
    </row>
    <row r="181" spans="1:10" x14ac:dyDescent="0.3">
      <c r="A181" s="81">
        <v>1999</v>
      </c>
      <c r="B181" s="88">
        <v>6.1833512633995902</v>
      </c>
      <c r="C181" s="53">
        <v>7.3181837589084298</v>
      </c>
      <c r="D181" s="53">
        <v>49</v>
      </c>
      <c r="E181" s="86">
        <f t="shared" si="14"/>
        <v>2.2414681676093564</v>
      </c>
      <c r="F181" s="86">
        <f t="shared" si="11"/>
        <v>0.98</v>
      </c>
      <c r="G181" s="86">
        <f>_xlfn.LOGNORM.DIST(C181,Dataset!D$62,Dataset!D$63,TRUE)</f>
        <v>0.98153594777202635</v>
      </c>
      <c r="H181" s="86">
        <f t="shared" si="12"/>
        <v>1.5359477720263692E-3</v>
      </c>
      <c r="I181" s="87">
        <f>EXP(-EXP(-(C181-Dataset!D$59)/Dataset!D$58))</f>
        <v>0.96881601726392919</v>
      </c>
      <c r="J181" s="86">
        <f t="shared" si="13"/>
        <v>1.1183982736070797E-2</v>
      </c>
    </row>
    <row r="182" spans="1:10" x14ac:dyDescent="0.3">
      <c r="A182" s="81">
        <v>2000</v>
      </c>
      <c r="B182" s="88">
        <v>5.2542718008214901</v>
      </c>
      <c r="C182" s="53">
        <v>7.4587046327377697</v>
      </c>
      <c r="D182" s="53">
        <v>50</v>
      </c>
      <c r="E182" s="86">
        <f t="shared" si="14"/>
        <v>2.4906678604729326</v>
      </c>
      <c r="F182" s="86">
        <f t="shared" si="11"/>
        <v>1</v>
      </c>
      <c r="G182" s="86">
        <f>_xlfn.LOGNORM.DIST(C182,Dataset!D$62,Dataset!D$63,TRUE)</f>
        <v>0.98902423063348532</v>
      </c>
      <c r="H182" s="86">
        <f t="shared" si="12"/>
        <v>1.0975769366514676E-2</v>
      </c>
      <c r="I182" s="87">
        <f>EXP(-EXP(-(C182-Dataset!D$59)/Dataset!D$58))</f>
        <v>0.97724918696090535</v>
      </c>
      <c r="J182" s="86">
        <f t="shared" si="13"/>
        <v>2.2750813039094653E-2</v>
      </c>
    </row>
    <row r="184" spans="1:10" x14ac:dyDescent="0.3">
      <c r="A184" s="81" t="s">
        <v>12</v>
      </c>
      <c r="B184" s="53">
        <f>AVERAGE(C133:C182)</f>
        <v>6.0542453408721455</v>
      </c>
      <c r="C184" s="80" t="s">
        <v>14</v>
      </c>
      <c r="D184" s="53">
        <v>50</v>
      </c>
      <c r="G184" s="91" t="s">
        <v>25</v>
      </c>
      <c r="H184" s="91">
        <f>MAX(H133:H182)</f>
        <v>8.9958003913832796E-2</v>
      </c>
      <c r="I184" s="91" t="s">
        <v>25</v>
      </c>
      <c r="J184" s="91">
        <f>MAX(J133:J182)</f>
        <v>5.7947015761165954E-2</v>
      </c>
    </row>
    <row r="185" spans="1:10" x14ac:dyDescent="0.3">
      <c r="A185" s="81" t="s">
        <v>13</v>
      </c>
      <c r="B185" s="53">
        <f>_xlfn.STDEV.S(C133:C182)</f>
        <v>0.56388863170175685</v>
      </c>
      <c r="C185" s="80" t="s">
        <v>15</v>
      </c>
      <c r="D185" s="53">
        <v>50</v>
      </c>
      <c r="G185" s="91" t="s">
        <v>23</v>
      </c>
      <c r="H185" s="91">
        <v>0.05</v>
      </c>
      <c r="I185" s="91" t="s">
        <v>23</v>
      </c>
      <c r="J185" s="91">
        <v>0.05</v>
      </c>
    </row>
    <row r="186" spans="1:10" x14ac:dyDescent="0.3">
      <c r="G186" s="91" t="s">
        <v>26</v>
      </c>
      <c r="H186" s="91">
        <v>0.19</v>
      </c>
      <c r="I186" s="91" t="s">
        <v>26</v>
      </c>
      <c r="J186" s="91">
        <v>0.19</v>
      </c>
    </row>
    <row r="187" spans="1:10" x14ac:dyDescent="0.3">
      <c r="G187" s="139" t="s">
        <v>32</v>
      </c>
      <c r="H187" s="139"/>
      <c r="I187" s="139"/>
      <c r="J187" s="139"/>
    </row>
    <row r="188" spans="1:10" x14ac:dyDescent="0.3">
      <c r="A188" s="141" t="s">
        <v>28</v>
      </c>
      <c r="B188" s="141"/>
      <c r="C188" s="141"/>
      <c r="D188" s="141"/>
      <c r="E188" s="141"/>
      <c r="F188" s="141"/>
      <c r="G188" s="141"/>
    </row>
    <row r="189" spans="1:10" x14ac:dyDescent="0.3">
      <c r="A189" s="138" t="s">
        <v>36</v>
      </c>
      <c r="B189" s="138"/>
      <c r="C189" s="138"/>
      <c r="E189" s="140" t="s">
        <v>37</v>
      </c>
      <c r="F189" s="140"/>
      <c r="G189" s="140"/>
    </row>
    <row r="190" spans="1:10" x14ac:dyDescent="0.3">
      <c r="A190" s="88" t="s">
        <v>29</v>
      </c>
      <c r="B190" s="53"/>
      <c r="C190" s="53" cm="1">
        <f t="array" ref="C190">-(SUM(LN(B133:B182)))-((50/2)*LN(Dataset!D$63^2))-((50/2)*LN(2*PI()))-((1/(2*Dataset!D$63^2))*SUM((LN(B133:B182)-Dataset!D$62)^2))</f>
        <v>-40.554303726380063</v>
      </c>
      <c r="E190" s="53" t="s">
        <v>29</v>
      </c>
      <c r="F190" s="53"/>
      <c r="G190" s="53" cm="1">
        <f t="array" ref="G190">-50*LN(Dataset!D$58) + 50*Dataset!D$59/Dataset!D$58 - SUM((B133:B182)/Dataset!D$58) -(EXP(Dataset!D$59/Dataset!D$58)*SUM(EXP(-(B133:B182)/Dataset!D$58)))</f>
        <v>-39.52468190996273</v>
      </c>
    </row>
    <row r="191" spans="1:10" x14ac:dyDescent="0.3">
      <c r="A191" s="90"/>
      <c r="B191" s="53"/>
      <c r="C191" s="53"/>
      <c r="E191" s="53"/>
      <c r="F191" s="53"/>
      <c r="G191" s="53"/>
    </row>
    <row r="192" spans="1:10" x14ac:dyDescent="0.3">
      <c r="A192" s="90" t="s">
        <v>30</v>
      </c>
      <c r="B192" s="53"/>
      <c r="C192" s="53">
        <f>-2*C190+2*2</f>
        <v>85.108607452760126</v>
      </c>
      <c r="E192" s="53" t="s">
        <v>30</v>
      </c>
      <c r="F192" s="53"/>
      <c r="G192" s="53">
        <f>-2*G190+2*2</f>
        <v>83.04936381992546</v>
      </c>
    </row>
    <row r="193" spans="1:19" x14ac:dyDescent="0.3">
      <c r="A193" s="90" t="s">
        <v>31</v>
      </c>
      <c r="B193" s="53"/>
      <c r="C193" s="53">
        <f>-2*C190+2*LN(50)</f>
        <v>88.932653463616418</v>
      </c>
      <c r="E193" s="53" t="s">
        <v>31</v>
      </c>
      <c r="F193" s="53"/>
      <c r="G193" s="53">
        <f>-2*G190+2*LN(50)</f>
        <v>86.873409830781753</v>
      </c>
      <c r="L193" s="21"/>
    </row>
    <row r="194" spans="1:19" x14ac:dyDescent="0.3">
      <c r="E194" s="20" t="s">
        <v>38</v>
      </c>
    </row>
    <row r="196" spans="1:19" x14ac:dyDescent="0.3">
      <c r="A196" s="136" t="s">
        <v>41</v>
      </c>
      <c r="B196" s="136"/>
      <c r="C196" s="136"/>
      <c r="D196" s="136"/>
      <c r="E196" s="136"/>
      <c r="F196" s="136"/>
      <c r="G196" s="136"/>
      <c r="H196" s="136"/>
      <c r="I196" s="136"/>
      <c r="J196" s="136"/>
    </row>
    <row r="197" spans="1:19" ht="57.6" x14ac:dyDescent="0.3">
      <c r="A197" s="81" t="s">
        <v>49</v>
      </c>
      <c r="B197" s="80" t="s">
        <v>27</v>
      </c>
      <c r="C197" s="80" t="s">
        <v>11</v>
      </c>
      <c r="D197" s="82" t="s">
        <v>16</v>
      </c>
      <c r="E197" s="83" t="s">
        <v>17</v>
      </c>
      <c r="F197" s="83" t="s">
        <v>18</v>
      </c>
      <c r="G197" s="82" t="s">
        <v>19</v>
      </c>
      <c r="H197" s="82" t="s">
        <v>20</v>
      </c>
      <c r="I197" s="82" t="s">
        <v>21</v>
      </c>
      <c r="J197" s="82" t="s">
        <v>22</v>
      </c>
    </row>
    <row r="198" spans="1:19" x14ac:dyDescent="0.3">
      <c r="A198" s="81">
        <v>1951</v>
      </c>
      <c r="B198" s="88" cm="1">
        <f t="array" ref="B198:B247">Dataset!E$2:E$51</f>
        <v>11.188524489945999</v>
      </c>
      <c r="C198" s="53">
        <v>9.5171961086434802</v>
      </c>
      <c r="D198" s="53">
        <v>1</v>
      </c>
      <c r="E198" s="86">
        <f t="shared" ref="E198:E229" si="15">(C198-B$249)/B$250</f>
        <v>-2.2949960458153345</v>
      </c>
      <c r="F198" s="86">
        <f>D198/50</f>
        <v>0.02</v>
      </c>
      <c r="G198" s="86">
        <f>_xlfn.LOGNORM.DIST(C198,Dataset!E$62,Dataset!E$63,TRUE)</f>
        <v>5.656461414631735E-3</v>
      </c>
      <c r="H198" s="86">
        <f>ABS(G198-F198)</f>
        <v>1.4343538585368265E-2</v>
      </c>
      <c r="I198" s="87">
        <f>EXP(-EXP(-(C198-Dataset!E$59)/Dataset!E$58))</f>
        <v>2.3513245575089544E-5</v>
      </c>
      <c r="J198" s="86">
        <f>ABS(I198-F198)</f>
        <v>1.997648675442491E-2</v>
      </c>
    </row>
    <row r="199" spans="1:19" x14ac:dyDescent="0.3">
      <c r="A199" s="81">
        <v>1952</v>
      </c>
      <c r="B199" s="88">
        <v>11.3380726323985</v>
      </c>
      <c r="C199" s="53">
        <v>10.4485795792319</v>
      </c>
      <c r="D199" s="53">
        <v>2</v>
      </c>
      <c r="E199" s="86">
        <f t="shared" si="15"/>
        <v>-1.4392751247877476</v>
      </c>
      <c r="F199" s="86">
        <f t="shared" ref="F199:F247" si="16">D199/50</f>
        <v>0.04</v>
      </c>
      <c r="G199" s="86">
        <f>_xlfn.LOGNORM.DIST(C199,Dataset!E$62,Dataset!E$63,TRUE)</f>
        <v>6.6793864220051985E-2</v>
      </c>
      <c r="H199" s="86">
        <f t="shared" ref="H199:H247" si="17">ABS(G199-F199)</f>
        <v>2.6793864220051984E-2</v>
      </c>
      <c r="I199" s="87">
        <f>EXP(-EXP(-(C199-Dataset!E$59)/Dataset!E$58))</f>
        <v>2.8538317146485262E-2</v>
      </c>
      <c r="J199" s="86">
        <f t="shared" ref="J199:J247" si="18">ABS(I199-F199)</f>
        <v>1.1461682853514739E-2</v>
      </c>
    </row>
    <row r="200" spans="1:19" x14ac:dyDescent="0.3">
      <c r="A200" s="81">
        <v>1953</v>
      </c>
      <c r="B200" s="88">
        <v>11.912107650380401</v>
      </c>
      <c r="C200" s="53">
        <v>10.674872964727401</v>
      </c>
      <c r="D200" s="53">
        <v>3</v>
      </c>
      <c r="E200" s="86">
        <f t="shared" si="15"/>
        <v>-1.2313650744447648</v>
      </c>
      <c r="F200" s="86">
        <f t="shared" si="16"/>
        <v>0.06</v>
      </c>
      <c r="G200" s="86">
        <f>_xlfn.LOGNORM.DIST(C200,Dataset!E$62,Dataset!E$63,TRUE)</f>
        <v>0.10327850875726763</v>
      </c>
      <c r="H200" s="86">
        <f t="shared" si="17"/>
        <v>4.3278508757267631E-2</v>
      </c>
      <c r="I200" s="87">
        <f>EXP(-EXP(-(C200-Dataset!E$59)/Dataset!E$58))</f>
        <v>6.5608684524876226E-2</v>
      </c>
      <c r="J200" s="86">
        <f t="shared" si="18"/>
        <v>5.6086845248762285E-3</v>
      </c>
    </row>
    <row r="201" spans="1:19" x14ac:dyDescent="0.3">
      <c r="A201" s="81">
        <v>1954</v>
      </c>
      <c r="B201" s="88">
        <v>12.566732588510201</v>
      </c>
      <c r="C201" s="53">
        <v>10.6987774207772</v>
      </c>
      <c r="D201" s="53">
        <v>4</v>
      </c>
      <c r="E201" s="86">
        <f t="shared" si="15"/>
        <v>-1.2094025382890887</v>
      </c>
      <c r="F201" s="86">
        <f t="shared" si="16"/>
        <v>0.08</v>
      </c>
      <c r="G201" s="86">
        <f>_xlfn.LOGNORM.DIST(C201,Dataset!E$62,Dataset!E$63,TRUE)</f>
        <v>0.10779377799602015</v>
      </c>
      <c r="H201" s="86">
        <f t="shared" si="17"/>
        <v>2.7793777996020147E-2</v>
      </c>
      <c r="I201" s="87">
        <f>EXP(-EXP(-(C201-Dataset!E$59)/Dataset!E$58))</f>
        <v>7.0765390854458862E-2</v>
      </c>
      <c r="J201" s="86">
        <f t="shared" si="18"/>
        <v>9.2346091455411394E-3</v>
      </c>
    </row>
    <row r="202" spans="1:19" x14ac:dyDescent="0.3">
      <c r="A202" s="81">
        <v>1955</v>
      </c>
      <c r="B202" s="88">
        <v>11.359957563406599</v>
      </c>
      <c r="C202" s="53">
        <v>10.720882326669701</v>
      </c>
      <c r="D202" s="53">
        <v>5</v>
      </c>
      <c r="E202" s="86">
        <f t="shared" si="15"/>
        <v>-1.1890933627165301</v>
      </c>
      <c r="F202" s="86">
        <f t="shared" si="16"/>
        <v>0.1</v>
      </c>
      <c r="G202" s="86">
        <f>_xlfn.LOGNORM.DIST(C202,Dataset!E$62,Dataset!E$63,TRUE)</f>
        <v>0.11208475123909158</v>
      </c>
      <c r="H202" s="86">
        <f t="shared" si="17"/>
        <v>1.2084751239091571E-2</v>
      </c>
      <c r="I202" s="87">
        <f>EXP(-EXP(-(C202-Dataset!E$59)/Dataset!E$58))</f>
        <v>7.5751982171457635E-2</v>
      </c>
      <c r="J202" s="86">
        <f t="shared" si="18"/>
        <v>2.424801782854237E-2</v>
      </c>
    </row>
    <row r="203" spans="1:19" x14ac:dyDescent="0.3">
      <c r="A203" s="81">
        <v>1956</v>
      </c>
      <c r="B203" s="88">
        <v>11.3637250799549</v>
      </c>
      <c r="C203" s="53">
        <v>10.7583100013088</v>
      </c>
      <c r="D203" s="53">
        <v>6</v>
      </c>
      <c r="E203" s="86">
        <f t="shared" si="15"/>
        <v>-1.1547061900583586</v>
      </c>
      <c r="F203" s="86">
        <f t="shared" si="16"/>
        <v>0.12</v>
      </c>
      <c r="G203" s="86">
        <f>_xlfn.LOGNORM.DIST(C203,Dataset!E$62,Dataset!E$63,TRUE)</f>
        <v>0.11960462609798353</v>
      </c>
      <c r="H203" s="86">
        <f t="shared" si="17"/>
        <v>3.9537390201646594E-4</v>
      </c>
      <c r="I203" s="87">
        <f>EXP(-EXP(-(C203-Dataset!E$59)/Dataset!E$58))</f>
        <v>8.4672685116838634E-2</v>
      </c>
      <c r="J203" s="86">
        <f t="shared" si="18"/>
        <v>3.5327314883161362E-2</v>
      </c>
    </row>
    <row r="204" spans="1:19" x14ac:dyDescent="0.3">
      <c r="A204" s="81">
        <v>1957</v>
      </c>
      <c r="B204" s="88">
        <v>13.524530335105201</v>
      </c>
      <c r="C204" s="53">
        <v>10.965046000794599</v>
      </c>
      <c r="D204" s="53">
        <v>7</v>
      </c>
      <c r="E204" s="86">
        <f t="shared" si="15"/>
        <v>-0.96476474759558717</v>
      </c>
      <c r="F204" s="86">
        <f t="shared" si="16"/>
        <v>0.14000000000000001</v>
      </c>
      <c r="G204" s="86">
        <f>_xlfn.LOGNORM.DIST(C204,Dataset!E$62,Dataset!E$63,TRUE)</f>
        <v>0.16691772038713426</v>
      </c>
      <c r="H204" s="86">
        <f t="shared" si="17"/>
        <v>2.6917720387134247E-2</v>
      </c>
      <c r="I204" s="87">
        <f>EXP(-EXP(-(C204-Dataset!E$59)/Dataset!E$58))</f>
        <v>0.14440293701802084</v>
      </c>
      <c r="J204" s="86">
        <f t="shared" si="18"/>
        <v>4.4029370180208305E-3</v>
      </c>
      <c r="S204" s="1"/>
    </row>
    <row r="205" spans="1:19" x14ac:dyDescent="0.3">
      <c r="A205" s="81">
        <v>1958</v>
      </c>
      <c r="B205" s="88">
        <v>11.6857182257743</v>
      </c>
      <c r="C205" s="53">
        <v>10.967154826452999</v>
      </c>
      <c r="D205" s="53">
        <v>8</v>
      </c>
      <c r="E205" s="86">
        <f t="shared" si="15"/>
        <v>-0.96282723604242137</v>
      </c>
      <c r="F205" s="86">
        <f t="shared" si="16"/>
        <v>0.16</v>
      </c>
      <c r="G205" s="86">
        <f>_xlfn.LOGNORM.DIST(C205,Dataset!E$62,Dataset!E$63,TRUE)</f>
        <v>0.16745026602565347</v>
      </c>
      <c r="H205" s="86">
        <f t="shared" si="17"/>
        <v>7.4502660256534625E-3</v>
      </c>
      <c r="I205" s="87">
        <f>EXP(-EXP(-(C205-Dataset!E$59)/Dataset!E$58))</f>
        <v>0.14509815540418458</v>
      </c>
      <c r="J205" s="86">
        <f t="shared" si="18"/>
        <v>1.4901844595815422E-2</v>
      </c>
    </row>
    <row r="206" spans="1:19" x14ac:dyDescent="0.3">
      <c r="A206" s="81">
        <v>1959</v>
      </c>
      <c r="B206" s="88">
        <v>12.252253711992701</v>
      </c>
      <c r="C206" s="53">
        <v>11.017404351539801</v>
      </c>
      <c r="D206" s="53">
        <v>9</v>
      </c>
      <c r="E206" s="86">
        <f t="shared" si="15"/>
        <v>-0.91665981816747144</v>
      </c>
      <c r="F206" s="86">
        <f t="shared" si="16"/>
        <v>0.18</v>
      </c>
      <c r="G206" s="86">
        <f>_xlfn.LOGNORM.DIST(C206,Dataset!E$62,Dataset!E$63,TRUE)</f>
        <v>0.18043111253928218</v>
      </c>
      <c r="H206" s="86">
        <f t="shared" si="17"/>
        <v>4.3111253928218574E-4</v>
      </c>
      <c r="I206" s="87">
        <f>EXP(-EXP(-(C206-Dataset!E$59)/Dataset!E$58))</f>
        <v>0.16212928452493736</v>
      </c>
      <c r="J206" s="86">
        <f t="shared" si="18"/>
        <v>1.7870715475062637E-2</v>
      </c>
    </row>
    <row r="207" spans="1:19" x14ac:dyDescent="0.3">
      <c r="A207" s="81">
        <v>1960</v>
      </c>
      <c r="B207" s="88">
        <v>13.000918338344899</v>
      </c>
      <c r="C207" s="53">
        <v>11.041862386884601</v>
      </c>
      <c r="D207" s="53">
        <v>10</v>
      </c>
      <c r="E207" s="86">
        <f t="shared" si="15"/>
        <v>-0.89418867368972466</v>
      </c>
      <c r="F207" s="86">
        <f t="shared" si="16"/>
        <v>0.2</v>
      </c>
      <c r="G207" s="86">
        <f>_xlfn.LOGNORM.DIST(C207,Dataset!E$62,Dataset!E$63,TRUE)</f>
        <v>0.18694932092582964</v>
      </c>
      <c r="H207" s="86">
        <f t="shared" si="17"/>
        <v>1.3050679074170374E-2</v>
      </c>
      <c r="I207" s="87">
        <f>EXP(-EXP(-(C207-Dataset!E$59)/Dataset!E$58))</f>
        <v>0.17072965733465306</v>
      </c>
      <c r="J207" s="86">
        <f t="shared" si="18"/>
        <v>2.9270342665346949E-2</v>
      </c>
    </row>
    <row r="208" spans="1:19" x14ac:dyDescent="0.3">
      <c r="A208" s="81">
        <v>1961</v>
      </c>
      <c r="B208" s="88">
        <v>13.6778299651853</v>
      </c>
      <c r="C208" s="53">
        <v>11.0693454349378</v>
      </c>
      <c r="D208" s="53">
        <v>11</v>
      </c>
      <c r="E208" s="86">
        <f t="shared" si="15"/>
        <v>-0.86893825865082464</v>
      </c>
      <c r="F208" s="86">
        <f t="shared" si="16"/>
        <v>0.22</v>
      </c>
      <c r="G208" s="86">
        <f>_xlfn.LOGNORM.DIST(C208,Dataset!E$62,Dataset!E$63,TRUE)</f>
        <v>0.19442733684716257</v>
      </c>
      <c r="H208" s="86">
        <f t="shared" si="17"/>
        <v>2.5572663152837433E-2</v>
      </c>
      <c r="I208" s="87">
        <f>EXP(-EXP(-(C208-Dataset!E$59)/Dataset!E$58))</f>
        <v>0.18062289568789885</v>
      </c>
      <c r="J208" s="86">
        <f t="shared" si="18"/>
        <v>3.9377104312101147E-2</v>
      </c>
    </row>
    <row r="209" spans="1:10" x14ac:dyDescent="0.3">
      <c r="A209" s="81">
        <v>1962</v>
      </c>
      <c r="B209" s="88">
        <v>11.2980200606124</v>
      </c>
      <c r="C209" s="53">
        <v>11.188524489945999</v>
      </c>
      <c r="D209" s="53">
        <v>12</v>
      </c>
      <c r="E209" s="86">
        <f t="shared" si="15"/>
        <v>-0.759440920616273</v>
      </c>
      <c r="F209" s="86">
        <f t="shared" si="16"/>
        <v>0.24</v>
      </c>
      <c r="G209" s="86">
        <f>_xlfn.LOGNORM.DIST(C209,Dataset!E$62,Dataset!E$63,TRUE)</f>
        <v>0.22866917614719365</v>
      </c>
      <c r="H209" s="86">
        <f t="shared" si="17"/>
        <v>1.1330823852806343E-2</v>
      </c>
      <c r="I209" s="87">
        <f>EXP(-EXP(-(C209-Dataset!E$59)/Dataset!E$58))</f>
        <v>0.22602300700755001</v>
      </c>
      <c r="J209" s="86">
        <f t="shared" si="18"/>
        <v>1.3976992992449977E-2</v>
      </c>
    </row>
    <row r="210" spans="1:10" x14ac:dyDescent="0.3">
      <c r="A210" s="81">
        <v>1963</v>
      </c>
      <c r="B210" s="88">
        <v>14.9610554482264</v>
      </c>
      <c r="C210" s="53">
        <v>11.2980200606124</v>
      </c>
      <c r="D210" s="53">
        <v>13</v>
      </c>
      <c r="E210" s="86">
        <f t="shared" si="15"/>
        <v>-0.65884041229943779</v>
      </c>
      <c r="F210" s="86">
        <f t="shared" si="16"/>
        <v>0.26</v>
      </c>
      <c r="G210" s="86">
        <f>_xlfn.LOGNORM.DIST(C210,Dataset!E$62,Dataset!E$63,TRUE)</f>
        <v>0.26254817822833987</v>
      </c>
      <c r="H210" s="86">
        <f t="shared" si="17"/>
        <v>2.5481782283398591E-3</v>
      </c>
      <c r="I210" s="87">
        <f>EXP(-EXP(-(C210-Dataset!E$59)/Dataset!E$58))</f>
        <v>0.27060308637324637</v>
      </c>
      <c r="J210" s="86">
        <f t="shared" si="18"/>
        <v>1.0603086373246362E-2</v>
      </c>
    </row>
    <row r="211" spans="1:10" x14ac:dyDescent="0.3">
      <c r="A211" s="81">
        <v>1964</v>
      </c>
      <c r="B211" s="88">
        <v>11.041862386884601</v>
      </c>
      <c r="C211" s="53">
        <v>11.3260210431694</v>
      </c>
      <c r="D211" s="53">
        <v>14</v>
      </c>
      <c r="E211" s="86">
        <f t="shared" si="15"/>
        <v>-0.63311413806331096</v>
      </c>
      <c r="F211" s="86">
        <f t="shared" si="16"/>
        <v>0.28000000000000003</v>
      </c>
      <c r="G211" s="86">
        <f>_xlfn.LOGNORM.DIST(C211,Dataset!E$62,Dataset!E$63,TRUE)</f>
        <v>0.2715512920054774</v>
      </c>
      <c r="H211" s="86">
        <f t="shared" si="17"/>
        <v>8.4487079945226307E-3</v>
      </c>
      <c r="I211" s="87">
        <f>EXP(-EXP(-(C211-Dataset!E$59)/Dataset!E$58))</f>
        <v>0.28233049201060112</v>
      </c>
      <c r="J211" s="86">
        <f t="shared" si="18"/>
        <v>2.3304920106010929E-3</v>
      </c>
    </row>
    <row r="212" spans="1:10" x14ac:dyDescent="0.3">
      <c r="A212" s="81">
        <v>1965</v>
      </c>
      <c r="B212" s="88">
        <v>12.957385574481799</v>
      </c>
      <c r="C212" s="53">
        <v>11.3380726323985</v>
      </c>
      <c r="D212" s="53">
        <v>15</v>
      </c>
      <c r="E212" s="86">
        <f t="shared" si="15"/>
        <v>-0.62204158056080683</v>
      </c>
      <c r="F212" s="86">
        <f t="shared" si="16"/>
        <v>0.3</v>
      </c>
      <c r="G212" s="86">
        <f>_xlfn.LOGNORM.DIST(C212,Dataset!E$62,Dataset!E$63,TRUE)</f>
        <v>0.27546604714109879</v>
      </c>
      <c r="H212" s="86">
        <f t="shared" si="17"/>
        <v>2.4533952858901198E-2</v>
      </c>
      <c r="I212" s="87">
        <f>EXP(-EXP(-(C212-Dataset!E$59)/Dataset!E$58))</f>
        <v>0.28741052263306022</v>
      </c>
      <c r="J212" s="86">
        <f t="shared" si="18"/>
        <v>1.2589477366939772E-2</v>
      </c>
    </row>
    <row r="213" spans="1:10" x14ac:dyDescent="0.3">
      <c r="A213" s="81">
        <v>1966</v>
      </c>
      <c r="B213" s="88">
        <v>11.781387889908199</v>
      </c>
      <c r="C213" s="53">
        <v>11.355371541184301</v>
      </c>
      <c r="D213" s="53">
        <v>16</v>
      </c>
      <c r="E213" s="86">
        <f t="shared" si="15"/>
        <v>-0.60614797859511438</v>
      </c>
      <c r="F213" s="86">
        <f t="shared" si="16"/>
        <v>0.32</v>
      </c>
      <c r="G213" s="86">
        <f>_xlfn.LOGNORM.DIST(C213,Dataset!E$62,Dataset!E$63,TRUE)</f>
        <v>0.28112602338598752</v>
      </c>
      <c r="H213" s="86">
        <f t="shared" si="17"/>
        <v>3.8873976614012484E-2</v>
      </c>
      <c r="I213" s="87">
        <f>EXP(-EXP(-(C213-Dataset!E$59)/Dataset!E$58))</f>
        <v>0.29473329801759302</v>
      </c>
      <c r="J213" s="86">
        <f t="shared" si="18"/>
        <v>2.5266701982406992E-2</v>
      </c>
    </row>
    <row r="214" spans="1:10" x14ac:dyDescent="0.3">
      <c r="A214" s="81">
        <v>1967</v>
      </c>
      <c r="B214" s="88">
        <v>10.6987774207772</v>
      </c>
      <c r="C214" s="53">
        <v>11.359957563406599</v>
      </c>
      <c r="D214" s="53">
        <v>17</v>
      </c>
      <c r="E214" s="86">
        <f t="shared" si="15"/>
        <v>-0.60193450983187879</v>
      </c>
      <c r="F214" s="86">
        <f t="shared" si="16"/>
        <v>0.34</v>
      </c>
      <c r="G214" s="86">
        <f>_xlfn.LOGNORM.DIST(C214,Dataset!E$62,Dataset!E$63,TRUE)</f>
        <v>0.28263441821660695</v>
      </c>
      <c r="H214" s="86">
        <f t="shared" si="17"/>
        <v>5.7365581783393071E-2</v>
      </c>
      <c r="I214" s="87">
        <f>EXP(-EXP(-(C214-Dataset!E$59)/Dataset!E$58))</f>
        <v>0.29668030968153403</v>
      </c>
      <c r="J214" s="86">
        <f t="shared" si="18"/>
        <v>4.3319690318465998E-2</v>
      </c>
    </row>
    <row r="215" spans="1:10" x14ac:dyDescent="0.3">
      <c r="A215" s="81">
        <v>1968</v>
      </c>
      <c r="B215" s="88">
        <v>10.7583100013088</v>
      </c>
      <c r="C215" s="53">
        <v>11.3637250799549</v>
      </c>
      <c r="D215" s="53">
        <v>18</v>
      </c>
      <c r="E215" s="86">
        <f t="shared" si="15"/>
        <v>-0.59847305401641127</v>
      </c>
      <c r="F215" s="86">
        <f t="shared" si="16"/>
        <v>0.36</v>
      </c>
      <c r="G215" s="86">
        <f>_xlfn.LOGNORM.DIST(C215,Dataset!E$62,Dataset!E$63,TRUE)</f>
        <v>0.28387604342148298</v>
      </c>
      <c r="H215" s="86">
        <f t="shared" si="17"/>
        <v>7.6123956578517005E-2</v>
      </c>
      <c r="I215" s="87">
        <f>EXP(-EXP(-(C215-Dataset!E$59)/Dataset!E$58))</f>
        <v>0.2982815192636154</v>
      </c>
      <c r="J215" s="86">
        <f t="shared" si="18"/>
        <v>6.1718480736384584E-2</v>
      </c>
    </row>
    <row r="216" spans="1:10" x14ac:dyDescent="0.3">
      <c r="A216" s="81">
        <v>1969</v>
      </c>
      <c r="B216" s="88">
        <v>12.368958267322601</v>
      </c>
      <c r="C216" s="53">
        <v>11.5030633271934</v>
      </c>
      <c r="D216" s="53">
        <v>19</v>
      </c>
      <c r="E216" s="86">
        <f t="shared" si="15"/>
        <v>-0.47045419065181854</v>
      </c>
      <c r="F216" s="86">
        <f t="shared" si="16"/>
        <v>0.38</v>
      </c>
      <c r="G216" s="86">
        <f>_xlfn.LOGNORM.DIST(C216,Dataset!E$62,Dataset!E$63,TRUE)</f>
        <v>0.33121673082686953</v>
      </c>
      <c r="H216" s="86">
        <f t="shared" si="17"/>
        <v>4.8783269173130472E-2</v>
      </c>
      <c r="I216" s="87">
        <f>EXP(-EXP(-(C216-Dataset!E$59)/Dataset!E$58))</f>
        <v>0.35824467115612885</v>
      </c>
      <c r="J216" s="86">
        <f t="shared" si="18"/>
        <v>2.1755328843871158E-2</v>
      </c>
    </row>
    <row r="217" spans="1:10" x14ac:dyDescent="0.3">
      <c r="A217" s="81">
        <v>1970</v>
      </c>
      <c r="B217" s="88">
        <v>12.985928314869</v>
      </c>
      <c r="C217" s="53">
        <v>11.622031836906499</v>
      </c>
      <c r="D217" s="53">
        <v>20</v>
      </c>
      <c r="E217" s="86">
        <f t="shared" si="15"/>
        <v>-0.36115029390061687</v>
      </c>
      <c r="F217" s="86">
        <f t="shared" si="16"/>
        <v>0.4</v>
      </c>
      <c r="G217" s="86">
        <f>_xlfn.LOGNORM.DIST(C217,Dataset!E$62,Dataset!E$63,TRUE)</f>
        <v>0.37344597159197174</v>
      </c>
      <c r="H217" s="86">
        <f t="shared" si="17"/>
        <v>2.6554028408028285E-2</v>
      </c>
      <c r="I217" s="87">
        <f>EXP(-EXP(-(C217-Dataset!E$59)/Dataset!E$58))</f>
        <v>0.40972863093603729</v>
      </c>
      <c r="J217" s="86">
        <f t="shared" si="18"/>
        <v>9.7286309360372636E-3</v>
      </c>
    </row>
    <row r="218" spans="1:10" x14ac:dyDescent="0.3">
      <c r="A218" s="81">
        <v>1971</v>
      </c>
      <c r="B218" s="88">
        <v>13.283055203659799</v>
      </c>
      <c r="C218" s="53">
        <v>11.635017806338499</v>
      </c>
      <c r="D218" s="53">
        <v>21</v>
      </c>
      <c r="E218" s="86">
        <f t="shared" si="15"/>
        <v>-0.34921926218951438</v>
      </c>
      <c r="F218" s="86">
        <f t="shared" si="16"/>
        <v>0.42</v>
      </c>
      <c r="G218" s="86">
        <f>_xlfn.LOGNORM.DIST(C218,Dataset!E$62,Dataset!E$63,TRUE)</f>
        <v>0.37813319834650116</v>
      </c>
      <c r="H218" s="86">
        <f t="shared" si="17"/>
        <v>4.186680165349882E-2</v>
      </c>
      <c r="I218" s="87">
        <f>EXP(-EXP(-(C218-Dataset!E$59)/Dataset!E$58))</f>
        <v>0.41531816716059483</v>
      </c>
      <c r="J218" s="86">
        <f t="shared" si="18"/>
        <v>4.6818328394051534E-3</v>
      </c>
    </row>
    <row r="219" spans="1:10" x14ac:dyDescent="0.3">
      <c r="A219" s="81">
        <v>1972</v>
      </c>
      <c r="B219" s="88">
        <v>9.5171961086434802</v>
      </c>
      <c r="C219" s="53">
        <v>11.639878038858299</v>
      </c>
      <c r="D219" s="53">
        <v>22</v>
      </c>
      <c r="E219" s="86">
        <f t="shared" si="15"/>
        <v>-0.34475385907727779</v>
      </c>
      <c r="F219" s="86">
        <f t="shared" si="16"/>
        <v>0.44</v>
      </c>
      <c r="G219" s="86">
        <f>_xlfn.LOGNORM.DIST(C219,Dataset!E$62,Dataset!E$63,TRUE)</f>
        <v>0.37989079284012606</v>
      </c>
      <c r="H219" s="86">
        <f t="shared" si="17"/>
        <v>6.0109207159873945E-2</v>
      </c>
      <c r="I219" s="87">
        <f>EXP(-EXP(-(C219-Dataset!E$59)/Dataset!E$58))</f>
        <v>0.41740754697024401</v>
      </c>
      <c r="J219" s="86">
        <f t="shared" si="18"/>
        <v>2.2592453029755988E-2</v>
      </c>
    </row>
    <row r="220" spans="1:10" x14ac:dyDescent="0.3">
      <c r="A220" s="81">
        <v>1973</v>
      </c>
      <c r="B220" s="88">
        <v>11.837254020182799</v>
      </c>
      <c r="C220" s="53">
        <v>11.6672458750787</v>
      </c>
      <c r="D220" s="53">
        <v>23</v>
      </c>
      <c r="E220" s="86">
        <f t="shared" si="15"/>
        <v>-0.31960929643836988</v>
      </c>
      <c r="F220" s="86">
        <f t="shared" si="16"/>
        <v>0.46</v>
      </c>
      <c r="G220" s="86">
        <f>_xlfn.LOGNORM.DIST(C220,Dataset!E$62,Dataset!E$63,TRUE)</f>
        <v>0.38981936121225802</v>
      </c>
      <c r="H220" s="86">
        <f t="shared" si="17"/>
        <v>7.0180638787742E-2</v>
      </c>
      <c r="I220" s="87">
        <f>EXP(-EXP(-(C220-Dataset!E$59)/Dataset!E$58))</f>
        <v>0.42914290628253882</v>
      </c>
      <c r="J220" s="86">
        <f t="shared" si="18"/>
        <v>3.0857093717461204E-2</v>
      </c>
    </row>
    <row r="221" spans="1:10" x14ac:dyDescent="0.3">
      <c r="A221" s="81">
        <v>1974</v>
      </c>
      <c r="B221" s="88">
        <v>12.014114639050099</v>
      </c>
      <c r="C221" s="53">
        <v>11.6857182257743</v>
      </c>
      <c r="D221" s="53">
        <v>24</v>
      </c>
      <c r="E221" s="86">
        <f t="shared" si="15"/>
        <v>-0.30263757914903827</v>
      </c>
      <c r="F221" s="86">
        <f t="shared" si="16"/>
        <v>0.48</v>
      </c>
      <c r="G221" s="86">
        <f>_xlfn.LOGNORM.DIST(C221,Dataset!E$62,Dataset!E$63,TRUE)</f>
        <v>0.39654885559494685</v>
      </c>
      <c r="H221" s="86">
        <f t="shared" si="17"/>
        <v>8.3451144405053135E-2</v>
      </c>
      <c r="I221" s="87">
        <f>EXP(-EXP(-(C221-Dataset!E$59)/Dataset!E$58))</f>
        <v>0.43703162580579868</v>
      </c>
      <c r="J221" s="86">
        <f t="shared" si="18"/>
        <v>4.2968374194201298E-2</v>
      </c>
    </row>
    <row r="222" spans="1:10" x14ac:dyDescent="0.3">
      <c r="A222" s="81">
        <v>1975</v>
      </c>
      <c r="B222" s="88">
        <v>13.0806858457491</v>
      </c>
      <c r="C222" s="53">
        <v>11.781387889908199</v>
      </c>
      <c r="D222" s="53">
        <v>25</v>
      </c>
      <c r="E222" s="86">
        <f t="shared" si="15"/>
        <v>-0.2147398058985219</v>
      </c>
      <c r="F222" s="86">
        <f t="shared" si="16"/>
        <v>0.5</v>
      </c>
      <c r="G222" s="86">
        <f>_xlfn.LOGNORM.DIST(C222,Dataset!E$62,Dataset!E$63,TRUE)</f>
        <v>0.43168004539348204</v>
      </c>
      <c r="H222" s="86">
        <f t="shared" si="17"/>
        <v>6.8319954606517963E-2</v>
      </c>
      <c r="I222" s="87">
        <f>EXP(-EXP(-(C222-Dataset!E$59)/Dataset!E$58))</f>
        <v>0.47735217276538561</v>
      </c>
      <c r="J222" s="86">
        <f t="shared" si="18"/>
        <v>2.2647827234614393E-2</v>
      </c>
    </row>
    <row r="223" spans="1:10" x14ac:dyDescent="0.3">
      <c r="A223" s="81">
        <v>1976</v>
      </c>
      <c r="B223" s="88">
        <v>11.635017806338499</v>
      </c>
      <c r="C223" s="53">
        <v>11.837254020182799</v>
      </c>
      <c r="D223" s="53">
        <v>26</v>
      </c>
      <c r="E223" s="86">
        <f t="shared" si="15"/>
        <v>-0.16341205748719831</v>
      </c>
      <c r="F223" s="86">
        <f t="shared" si="16"/>
        <v>0.52</v>
      </c>
      <c r="G223" s="86">
        <f>_xlfn.LOGNORM.DIST(C223,Dataset!E$62,Dataset!E$63,TRUE)</f>
        <v>0.45233294392335405</v>
      </c>
      <c r="H223" s="86">
        <f t="shared" si="17"/>
        <v>6.7667056076645971E-2</v>
      </c>
      <c r="I223" s="87">
        <f>EXP(-EXP(-(C223-Dataset!E$59)/Dataset!E$58))</f>
        <v>0.50038074130559529</v>
      </c>
      <c r="J223" s="86">
        <f t="shared" si="18"/>
        <v>1.9619258694404729E-2</v>
      </c>
    </row>
    <row r="224" spans="1:10" x14ac:dyDescent="0.3">
      <c r="A224" s="81">
        <v>1977</v>
      </c>
      <c r="B224" s="88">
        <v>13.3125721122122</v>
      </c>
      <c r="C224" s="53">
        <v>11.912107650380401</v>
      </c>
      <c r="D224" s="53">
        <v>27</v>
      </c>
      <c r="E224" s="86">
        <f t="shared" si="15"/>
        <v>-9.4639291598962325E-2</v>
      </c>
      <c r="F224" s="86">
        <f t="shared" si="16"/>
        <v>0.54</v>
      </c>
      <c r="G224" s="86">
        <f>_xlfn.LOGNORM.DIST(C224,Dataset!E$62,Dataset!E$63,TRUE)</f>
        <v>0.48004502811570315</v>
      </c>
      <c r="H224" s="86">
        <f t="shared" si="17"/>
        <v>5.9954971884296882E-2</v>
      </c>
      <c r="I224" s="87">
        <f>EXP(-EXP(-(C224-Dataset!E$59)/Dataset!E$58))</f>
        <v>0.53050323281917999</v>
      </c>
      <c r="J224" s="86">
        <f t="shared" si="18"/>
        <v>9.4967671808200427E-3</v>
      </c>
    </row>
    <row r="225" spans="1:10" x14ac:dyDescent="0.3">
      <c r="A225" s="81">
        <v>1978</v>
      </c>
      <c r="B225" s="88">
        <v>11.6672458750787</v>
      </c>
      <c r="C225" s="53">
        <v>12.014114639050099</v>
      </c>
      <c r="D225" s="53">
        <v>28</v>
      </c>
      <c r="E225" s="86">
        <f t="shared" si="15"/>
        <v>-9.1901734872463484E-4</v>
      </c>
      <c r="F225" s="86">
        <f t="shared" si="16"/>
        <v>0.56000000000000005</v>
      </c>
      <c r="G225" s="86">
        <f>_xlfn.LOGNORM.DIST(C225,Dataset!E$62,Dataset!E$63,TRUE)</f>
        <v>0.51765952104034385</v>
      </c>
      <c r="H225" s="86">
        <f t="shared" si="17"/>
        <v>4.2340478959656203E-2</v>
      </c>
      <c r="I225" s="87">
        <f>EXP(-EXP(-(C225-Dataset!E$59)/Dataset!E$58))</f>
        <v>0.56999341158502292</v>
      </c>
      <c r="J225" s="86">
        <f t="shared" si="18"/>
        <v>9.9934115850228711E-3</v>
      </c>
    </row>
    <row r="226" spans="1:10" x14ac:dyDescent="0.3">
      <c r="A226" s="81">
        <v>1979</v>
      </c>
      <c r="B226" s="88">
        <v>12.300271687727999</v>
      </c>
      <c r="C226" s="53">
        <v>12.0604448921488</v>
      </c>
      <c r="D226" s="53">
        <v>29</v>
      </c>
      <c r="E226" s="86">
        <f t="shared" si="15"/>
        <v>4.1647517386977875E-2</v>
      </c>
      <c r="F226" s="86">
        <f t="shared" si="16"/>
        <v>0.57999999999999996</v>
      </c>
      <c r="G226" s="86">
        <f>_xlfn.LOGNORM.DIST(C226,Dataset!E$62,Dataset!E$63,TRUE)</f>
        <v>0.53460680866328736</v>
      </c>
      <c r="H226" s="86">
        <f t="shared" si="17"/>
        <v>4.5393191336712602E-2</v>
      </c>
      <c r="I226" s="87">
        <f>EXP(-EXP(-(C226-Dataset!E$59)/Dataset!E$58))</f>
        <v>0.58727400502942884</v>
      </c>
      <c r="J226" s="86">
        <f t="shared" si="18"/>
        <v>7.2740050294288761E-3</v>
      </c>
    </row>
    <row r="227" spans="1:10" x14ac:dyDescent="0.3">
      <c r="A227" s="81">
        <v>1980</v>
      </c>
      <c r="B227" s="88">
        <v>11.3260210431694</v>
      </c>
      <c r="C227" s="53">
        <v>12.176115995109299</v>
      </c>
      <c r="D227" s="53">
        <v>30</v>
      </c>
      <c r="E227" s="86">
        <f t="shared" si="15"/>
        <v>0.14792187793484279</v>
      </c>
      <c r="F227" s="86">
        <f t="shared" si="16"/>
        <v>0.6</v>
      </c>
      <c r="G227" s="86">
        <f>_xlfn.LOGNORM.DIST(C227,Dataset!E$62,Dataset!E$63,TRUE)</f>
        <v>0.57630183175169969</v>
      </c>
      <c r="H227" s="86">
        <f t="shared" si="17"/>
        <v>2.3698168248300289E-2</v>
      </c>
      <c r="I227" s="87">
        <f>EXP(-EXP(-(C227-Dataset!E$59)/Dataset!E$58))</f>
        <v>0.62848639931058392</v>
      </c>
      <c r="J227" s="86">
        <f t="shared" si="18"/>
        <v>2.8486399310583943E-2</v>
      </c>
    </row>
    <row r="228" spans="1:10" x14ac:dyDescent="0.3">
      <c r="A228" s="81">
        <v>1981</v>
      </c>
      <c r="B228" s="88">
        <v>11.622031836906499</v>
      </c>
      <c r="C228" s="53">
        <v>12.252253711992701</v>
      </c>
      <c r="D228" s="53">
        <v>31</v>
      </c>
      <c r="E228" s="86">
        <f t="shared" si="15"/>
        <v>0.2178744155026833</v>
      </c>
      <c r="F228" s="86">
        <f t="shared" si="16"/>
        <v>0.62</v>
      </c>
      <c r="G228" s="86">
        <f>_xlfn.LOGNORM.DIST(C228,Dataset!E$62,Dataset!E$63,TRUE)</f>
        <v>0.60310606519110344</v>
      </c>
      <c r="H228" s="86">
        <f t="shared" si="17"/>
        <v>1.689393480889656E-2</v>
      </c>
      <c r="I228" s="87">
        <f>EXP(-EXP(-(C228-Dataset!E$59)/Dataset!E$58))</f>
        <v>0.65404041641021049</v>
      </c>
      <c r="J228" s="86">
        <f t="shared" si="18"/>
        <v>3.4040416410210494E-2</v>
      </c>
    </row>
    <row r="229" spans="1:10" x14ac:dyDescent="0.3">
      <c r="A229" s="81">
        <v>1982</v>
      </c>
      <c r="B229" s="88">
        <v>10.967154826452999</v>
      </c>
      <c r="C229" s="53">
        <v>12.300271687727999</v>
      </c>
      <c r="D229" s="53">
        <v>32</v>
      </c>
      <c r="E229" s="86">
        <f t="shared" si="15"/>
        <v>0.26199156780315364</v>
      </c>
      <c r="F229" s="86">
        <f t="shared" si="16"/>
        <v>0.64</v>
      </c>
      <c r="G229" s="86">
        <f>_xlfn.LOGNORM.DIST(C229,Dataset!E$62,Dataset!E$63,TRUE)</f>
        <v>0.61968825947511474</v>
      </c>
      <c r="H229" s="86">
        <f t="shared" si="17"/>
        <v>2.0311740524885269E-2</v>
      </c>
      <c r="I229" s="87">
        <f>EXP(-EXP(-(C229-Dataset!E$59)/Dataset!E$58))</f>
        <v>0.66949700610430685</v>
      </c>
      <c r="J229" s="86">
        <f t="shared" si="18"/>
        <v>2.9497006104306833E-2</v>
      </c>
    </row>
    <row r="230" spans="1:10" x14ac:dyDescent="0.3">
      <c r="A230" s="81">
        <v>1983</v>
      </c>
      <c r="B230" s="88">
        <v>14.386681772142101</v>
      </c>
      <c r="C230" s="53">
        <v>12.368958267322601</v>
      </c>
      <c r="D230" s="53">
        <v>33</v>
      </c>
      <c r="E230" s="86">
        <f t="shared" ref="E230:E247" si="19">(C230-B$249)/B$250</f>
        <v>0.32509827412659048</v>
      </c>
      <c r="F230" s="86">
        <f t="shared" si="16"/>
        <v>0.66</v>
      </c>
      <c r="G230" s="86">
        <f>_xlfn.LOGNORM.DIST(C230,Dataset!E$62,Dataset!E$63,TRUE)</f>
        <v>0.64291453359556727</v>
      </c>
      <c r="H230" s="86">
        <f t="shared" si="17"/>
        <v>1.7085466404432759E-2</v>
      </c>
      <c r="I230" s="87">
        <f>EXP(-EXP(-(C230-Dataset!E$59)/Dataset!E$58))</f>
        <v>0.6907115378938643</v>
      </c>
      <c r="J230" s="86">
        <f t="shared" si="18"/>
        <v>3.0711537893864271E-2</v>
      </c>
    </row>
    <row r="231" spans="1:10" x14ac:dyDescent="0.3">
      <c r="A231" s="81">
        <v>1984</v>
      </c>
      <c r="B231" s="88">
        <v>10.4485795792319</v>
      </c>
      <c r="C231" s="53">
        <v>12.4698461256862</v>
      </c>
      <c r="D231" s="53">
        <v>34</v>
      </c>
      <c r="E231" s="86">
        <f t="shared" si="19"/>
        <v>0.41779033255968451</v>
      </c>
      <c r="F231" s="86">
        <f t="shared" si="16"/>
        <v>0.68</v>
      </c>
      <c r="G231" s="86">
        <f>_xlfn.LOGNORM.DIST(C231,Dataset!E$62,Dataset!E$63,TRUE)</f>
        <v>0.67584775300316235</v>
      </c>
      <c r="H231" s="86">
        <f t="shared" si="17"/>
        <v>4.152246996837694E-3</v>
      </c>
      <c r="I231" s="87">
        <f>EXP(-EXP(-(C231-Dataset!E$59)/Dataset!E$58))</f>
        <v>0.7199625323293829</v>
      </c>
      <c r="J231" s="86">
        <f t="shared" si="18"/>
        <v>3.9962532329382849E-2</v>
      </c>
    </row>
    <row r="232" spans="1:10" x14ac:dyDescent="0.3">
      <c r="A232" s="81">
        <v>1985</v>
      </c>
      <c r="B232" s="88">
        <v>12.5495264409229</v>
      </c>
      <c r="C232" s="53">
        <v>12.533989079835999</v>
      </c>
      <c r="D232" s="53">
        <v>35</v>
      </c>
      <c r="E232" s="86">
        <f t="shared" si="19"/>
        <v>0.47672252272172361</v>
      </c>
      <c r="F232" s="86">
        <f t="shared" si="16"/>
        <v>0.7</v>
      </c>
      <c r="G232" s="86">
        <f>_xlfn.LOGNORM.DIST(C232,Dataset!E$62,Dataset!E$63,TRUE)</f>
        <v>0.69597970793735475</v>
      </c>
      <c r="H232" s="86">
        <f t="shared" si="17"/>
        <v>4.0202920626452032E-3</v>
      </c>
      <c r="I232" s="87">
        <f>EXP(-EXP(-(C232-Dataset!E$59)/Dataset!E$58))</f>
        <v>0.73739060989131533</v>
      </c>
      <c r="J232" s="86">
        <f t="shared" si="18"/>
        <v>3.7390609891315374E-2</v>
      </c>
    </row>
    <row r="233" spans="1:10" x14ac:dyDescent="0.3">
      <c r="A233" s="81">
        <v>1986</v>
      </c>
      <c r="B233" s="88">
        <v>11.5030633271934</v>
      </c>
      <c r="C233" s="53">
        <v>12.5495264409229</v>
      </c>
      <c r="D233" s="53">
        <v>36</v>
      </c>
      <c r="E233" s="86">
        <f t="shared" si="19"/>
        <v>0.49099767936716127</v>
      </c>
      <c r="F233" s="86">
        <f t="shared" si="16"/>
        <v>0.72</v>
      </c>
      <c r="G233" s="86">
        <f>_xlfn.LOGNORM.DIST(C233,Dataset!E$62,Dataset!E$63,TRUE)</f>
        <v>0.70075600820029182</v>
      </c>
      <c r="H233" s="86">
        <f t="shared" si="17"/>
        <v>1.9243991799708149E-2</v>
      </c>
      <c r="I233" s="87">
        <f>EXP(-EXP(-(C233-Dataset!E$59)/Dataset!E$58))</f>
        <v>0.74147733903872748</v>
      </c>
      <c r="J233" s="86">
        <f t="shared" si="18"/>
        <v>2.1477339038727505E-2</v>
      </c>
    </row>
    <row r="234" spans="1:10" x14ac:dyDescent="0.3">
      <c r="A234" s="81">
        <v>1987</v>
      </c>
      <c r="B234" s="88">
        <v>11.017404351539801</v>
      </c>
      <c r="C234" s="53">
        <v>12.566732588510201</v>
      </c>
      <c r="D234" s="53">
        <v>37</v>
      </c>
      <c r="E234" s="86">
        <f t="shared" si="19"/>
        <v>0.50680605575099313</v>
      </c>
      <c r="F234" s="86">
        <f t="shared" si="16"/>
        <v>0.74</v>
      </c>
      <c r="G234" s="86">
        <f>_xlfn.LOGNORM.DIST(C234,Dataset!E$62,Dataset!E$63,TRUE)</f>
        <v>0.70599839157487065</v>
      </c>
      <c r="H234" s="86">
        <f t="shared" si="17"/>
        <v>3.4001608425129337E-2</v>
      </c>
      <c r="I234" s="87">
        <f>EXP(-EXP(-(C234-Dataset!E$59)/Dataset!E$58))</f>
        <v>0.74594221096999558</v>
      </c>
      <c r="J234" s="86">
        <f t="shared" si="18"/>
        <v>5.9422109699955872E-3</v>
      </c>
    </row>
    <row r="235" spans="1:10" x14ac:dyDescent="0.3">
      <c r="A235" s="81">
        <v>1988</v>
      </c>
      <c r="B235" s="88">
        <v>11.355371541184301</v>
      </c>
      <c r="C235" s="53">
        <v>12.957385574481799</v>
      </c>
      <c r="D235" s="53">
        <v>38</v>
      </c>
      <c r="E235" s="86">
        <f t="shared" si="19"/>
        <v>0.86572366972432158</v>
      </c>
      <c r="F235" s="86">
        <f t="shared" si="16"/>
        <v>0.76</v>
      </c>
      <c r="G235" s="86">
        <f>_xlfn.LOGNORM.DIST(C235,Dataset!E$62,Dataset!E$63,TRUE)</f>
        <v>0.81066800848858311</v>
      </c>
      <c r="H235" s="86">
        <f t="shared" si="17"/>
        <v>5.0668008488583105E-2</v>
      </c>
      <c r="I235" s="87">
        <f>EXP(-EXP(-(C235-Dataset!E$59)/Dataset!E$58))</f>
        <v>0.83112835162089449</v>
      </c>
      <c r="J235" s="86">
        <f t="shared" si="18"/>
        <v>7.1128351620894481E-2</v>
      </c>
    </row>
    <row r="236" spans="1:10" x14ac:dyDescent="0.3">
      <c r="A236" s="81">
        <v>1989</v>
      </c>
      <c r="B236" s="88">
        <v>12.533989079835999</v>
      </c>
      <c r="C236" s="53">
        <v>12.985928314869</v>
      </c>
      <c r="D236" s="53">
        <v>39</v>
      </c>
      <c r="E236" s="86">
        <f t="shared" si="19"/>
        <v>0.89194769115488837</v>
      </c>
      <c r="F236" s="86">
        <f t="shared" si="16"/>
        <v>0.78</v>
      </c>
      <c r="G236" s="86">
        <f>_xlfn.LOGNORM.DIST(C236,Dataset!E$62,Dataset!E$63,TRUE)</f>
        <v>0.81718798314817254</v>
      </c>
      <c r="H236" s="86">
        <f t="shared" si="17"/>
        <v>3.718798314817251E-2</v>
      </c>
      <c r="I236" s="87">
        <f>EXP(-EXP(-(C236-Dataset!E$59)/Dataset!E$58))</f>
        <v>0.83622870331139243</v>
      </c>
      <c r="J236" s="86">
        <f t="shared" si="18"/>
        <v>5.6228703311392403E-2</v>
      </c>
    </row>
    <row r="237" spans="1:10" x14ac:dyDescent="0.3">
      <c r="A237" s="81">
        <v>1990</v>
      </c>
      <c r="B237" s="88">
        <v>13.639624729183399</v>
      </c>
      <c r="C237" s="53">
        <v>13.000918338344899</v>
      </c>
      <c r="D237" s="53">
        <v>40</v>
      </c>
      <c r="E237" s="86">
        <f t="shared" si="19"/>
        <v>0.90571997410824368</v>
      </c>
      <c r="F237" s="86">
        <f t="shared" si="16"/>
        <v>0.8</v>
      </c>
      <c r="G237" s="86">
        <f>_xlfn.LOGNORM.DIST(C237,Dataset!E$62,Dataset!E$63,TRUE)</f>
        <v>0.82054969597483762</v>
      </c>
      <c r="H237" s="86">
        <f t="shared" si="17"/>
        <v>2.0549695974837578E-2</v>
      </c>
      <c r="I237" s="87">
        <f>EXP(-EXP(-(C237-Dataset!E$59)/Dataset!E$58))</f>
        <v>0.83885147599789078</v>
      </c>
      <c r="J237" s="86">
        <f t="shared" si="18"/>
        <v>3.8851475997890739E-2</v>
      </c>
    </row>
    <row r="238" spans="1:10" x14ac:dyDescent="0.3">
      <c r="A238" s="81">
        <v>1991</v>
      </c>
      <c r="B238" s="88">
        <v>10.965046000794599</v>
      </c>
      <c r="C238" s="53">
        <v>13.011639918318201</v>
      </c>
      <c r="D238" s="53">
        <v>41</v>
      </c>
      <c r="E238" s="86">
        <f t="shared" si="19"/>
        <v>0.91557056796066438</v>
      </c>
      <c r="F238" s="86">
        <f t="shared" si="16"/>
        <v>0.82</v>
      </c>
      <c r="G238" s="86">
        <f>_xlfn.LOGNORM.DIST(C238,Dataset!E$62,Dataset!E$63,TRUE)</f>
        <v>0.82292781270507509</v>
      </c>
      <c r="H238" s="86">
        <f t="shared" si="17"/>
        <v>2.927812705075139E-3</v>
      </c>
      <c r="I238" s="87">
        <f>EXP(-EXP(-(C238-Dataset!E$59)/Dataset!E$58))</f>
        <v>0.84070412941868278</v>
      </c>
      <c r="J238" s="86">
        <f t="shared" si="18"/>
        <v>2.0704129418682826E-2</v>
      </c>
    </row>
    <row r="239" spans="1:10" x14ac:dyDescent="0.3">
      <c r="A239" s="81">
        <v>1992</v>
      </c>
      <c r="B239" s="88">
        <v>11.0693454349378</v>
      </c>
      <c r="C239" s="53">
        <v>13.0806858457491</v>
      </c>
      <c r="D239" s="53">
        <v>42</v>
      </c>
      <c r="E239" s="86">
        <f t="shared" si="19"/>
        <v>0.97900742987646105</v>
      </c>
      <c r="F239" s="86">
        <f t="shared" si="16"/>
        <v>0.84</v>
      </c>
      <c r="G239" s="86">
        <f>_xlfn.LOGNORM.DIST(C239,Dataset!E$62,Dataset!E$63,TRUE)</f>
        <v>0.83771832480190345</v>
      </c>
      <c r="H239" s="86">
        <f t="shared" si="17"/>
        <v>2.2816751980965222E-3</v>
      </c>
      <c r="I239" s="87">
        <f>EXP(-EXP(-(C239-Dataset!E$59)/Dataset!E$58))</f>
        <v>0.852180531054611</v>
      </c>
      <c r="J239" s="86">
        <f t="shared" si="18"/>
        <v>1.2180531054611032E-2</v>
      </c>
    </row>
    <row r="240" spans="1:10" x14ac:dyDescent="0.3">
      <c r="A240" s="81">
        <v>1993</v>
      </c>
      <c r="B240" s="88">
        <v>11.639878038858299</v>
      </c>
      <c r="C240" s="53">
        <v>13.2487563107921</v>
      </c>
      <c r="D240" s="53">
        <v>43</v>
      </c>
      <c r="E240" s="86">
        <f t="shared" si="19"/>
        <v>1.1334243995627156</v>
      </c>
      <c r="F240" s="86">
        <f t="shared" si="16"/>
        <v>0.86</v>
      </c>
      <c r="G240" s="86">
        <f>_xlfn.LOGNORM.DIST(C240,Dataset!E$62,Dataset!E$63,TRUE)</f>
        <v>0.86999056387708584</v>
      </c>
      <c r="H240" s="86">
        <f t="shared" si="17"/>
        <v>9.9905638770858562E-3</v>
      </c>
      <c r="I240" s="87">
        <f>EXP(-EXP(-(C240-Dataset!E$59)/Dataset!E$58))</f>
        <v>0.877027388914567</v>
      </c>
      <c r="J240" s="86">
        <f t="shared" si="18"/>
        <v>1.702738891456701E-2</v>
      </c>
    </row>
    <row r="241" spans="1:10" x14ac:dyDescent="0.3">
      <c r="A241" s="81">
        <v>1994</v>
      </c>
      <c r="B241" s="88">
        <v>10.720882326669701</v>
      </c>
      <c r="C241" s="53">
        <v>13.283055203659799</v>
      </c>
      <c r="D241" s="53">
        <v>44</v>
      </c>
      <c r="E241" s="86">
        <f t="shared" si="19"/>
        <v>1.1649369624563128</v>
      </c>
      <c r="F241" s="86">
        <f t="shared" si="16"/>
        <v>0.88</v>
      </c>
      <c r="G241" s="86">
        <f>_xlfn.LOGNORM.DIST(C241,Dataset!E$62,Dataset!E$63,TRUE)</f>
        <v>0.87594379521200605</v>
      </c>
      <c r="H241" s="86">
        <f t="shared" si="17"/>
        <v>4.0562047879939556E-3</v>
      </c>
      <c r="I241" s="87">
        <f>EXP(-EXP(-(C241-Dataset!E$59)/Dataset!E$58))</f>
        <v>0.88159776927185829</v>
      </c>
      <c r="J241" s="86">
        <f t="shared" si="18"/>
        <v>1.5977692718582848E-3</v>
      </c>
    </row>
    <row r="242" spans="1:10" x14ac:dyDescent="0.3">
      <c r="A242" s="81">
        <v>1995</v>
      </c>
      <c r="B242" s="88">
        <v>12.4698461256862</v>
      </c>
      <c r="C242" s="53">
        <v>13.3125721122122</v>
      </c>
      <c r="D242" s="53">
        <v>45</v>
      </c>
      <c r="E242" s="86">
        <f t="shared" si="19"/>
        <v>1.192056013813741</v>
      </c>
      <c r="F242" s="86">
        <f t="shared" si="16"/>
        <v>0.9</v>
      </c>
      <c r="G242" s="86">
        <f>_xlfn.LOGNORM.DIST(C242,Dataset!E$62,Dataset!E$63,TRUE)</f>
        <v>0.88090036071728406</v>
      </c>
      <c r="H242" s="86">
        <f t="shared" si="17"/>
        <v>1.9099639282715963E-2</v>
      </c>
      <c r="I242" s="87">
        <f>EXP(-EXP(-(C242-Dataset!E$59)/Dataset!E$58))</f>
        <v>0.8854037802905006</v>
      </c>
      <c r="J242" s="86">
        <f t="shared" si="18"/>
        <v>1.4596219709499425E-2</v>
      </c>
    </row>
    <row r="243" spans="1:10" x14ac:dyDescent="0.3">
      <c r="A243" s="81">
        <v>1996</v>
      </c>
      <c r="B243" s="88">
        <v>13.011639918318201</v>
      </c>
      <c r="C243" s="53">
        <v>13.524530335105201</v>
      </c>
      <c r="D243" s="53">
        <v>46</v>
      </c>
      <c r="E243" s="86">
        <f t="shared" si="19"/>
        <v>1.3867954433193783</v>
      </c>
      <c r="F243" s="86">
        <f t="shared" si="16"/>
        <v>0.92</v>
      </c>
      <c r="G243" s="86">
        <f>_xlfn.LOGNORM.DIST(C243,Dataset!E$62,Dataset!E$63,TRUE)</f>
        <v>0.91216880234650533</v>
      </c>
      <c r="H243" s="86">
        <f t="shared" si="17"/>
        <v>7.8311976534947147E-3</v>
      </c>
      <c r="I243" s="87">
        <f>EXP(-EXP(-(C243-Dataset!E$59)/Dataset!E$58))</f>
        <v>0.90954482765803557</v>
      </c>
      <c r="J243" s="86">
        <f t="shared" si="18"/>
        <v>1.0455172341964469E-2</v>
      </c>
    </row>
    <row r="244" spans="1:10" x14ac:dyDescent="0.3">
      <c r="A244" s="81">
        <v>1997</v>
      </c>
      <c r="B244" s="88">
        <v>13.2487563107921</v>
      </c>
      <c r="C244" s="53">
        <v>13.639624729183399</v>
      </c>
      <c r="D244" s="53">
        <v>47</v>
      </c>
      <c r="E244" s="86">
        <f t="shared" si="19"/>
        <v>1.4925399449299619</v>
      </c>
      <c r="F244" s="86">
        <f t="shared" si="16"/>
        <v>0.94</v>
      </c>
      <c r="G244" s="86">
        <f>_xlfn.LOGNORM.DIST(C244,Dataset!E$62,Dataset!E$63,TRUE)</f>
        <v>0.92618709973435354</v>
      </c>
      <c r="H244" s="86">
        <f t="shared" si="17"/>
        <v>1.3812900265646411E-2</v>
      </c>
      <c r="I244" s="87">
        <f>EXP(-EXP(-(C244-Dataset!E$59)/Dataset!E$58))</f>
        <v>0.92054803981242395</v>
      </c>
      <c r="J244" s="86">
        <f t="shared" si="18"/>
        <v>1.9451960187576001E-2</v>
      </c>
    </row>
    <row r="245" spans="1:10" x14ac:dyDescent="0.3">
      <c r="A245" s="81">
        <v>1998</v>
      </c>
      <c r="B245" s="88">
        <v>12.176115995109299</v>
      </c>
      <c r="C245" s="53">
        <v>13.6778299651853</v>
      </c>
      <c r="D245" s="53">
        <v>48</v>
      </c>
      <c r="E245" s="86">
        <f t="shared" si="19"/>
        <v>1.5276415124067477</v>
      </c>
      <c r="F245" s="86">
        <f t="shared" si="16"/>
        <v>0.96</v>
      </c>
      <c r="G245" s="86">
        <f>_xlfn.LOGNORM.DIST(C245,Dataset!E$62,Dataset!E$63,TRUE)</f>
        <v>0.93041775830135487</v>
      </c>
      <c r="H245" s="86">
        <f t="shared" si="17"/>
        <v>2.9582241698645095E-2</v>
      </c>
      <c r="I245" s="87">
        <f>EXP(-EXP(-(C245-Dataset!E$59)/Dataset!E$58))</f>
        <v>0.9239090167105819</v>
      </c>
      <c r="J245" s="86">
        <f t="shared" si="18"/>
        <v>3.6090983289418066E-2</v>
      </c>
    </row>
    <row r="246" spans="1:10" x14ac:dyDescent="0.3">
      <c r="A246" s="81">
        <v>1999</v>
      </c>
      <c r="B246" s="88">
        <v>10.674872964727401</v>
      </c>
      <c r="C246" s="53">
        <v>14.386681772142101</v>
      </c>
      <c r="D246" s="53">
        <v>49</v>
      </c>
      <c r="E246" s="86">
        <f t="shared" si="19"/>
        <v>2.1789085149636263</v>
      </c>
      <c r="F246" s="86">
        <f t="shared" si="16"/>
        <v>0.98</v>
      </c>
      <c r="G246" s="86">
        <f>_xlfn.LOGNORM.DIST(C246,Dataset!E$62,Dataset!E$63,TRUE)</f>
        <v>0.97921587769412233</v>
      </c>
      <c r="H246" s="86">
        <f t="shared" si="17"/>
        <v>7.8412230587765475E-4</v>
      </c>
      <c r="I246" s="87">
        <f>EXP(-EXP(-(C246-Dataset!E$59)/Dataset!E$58))</f>
        <v>0.9662552117715556</v>
      </c>
      <c r="J246" s="86">
        <f t="shared" si="18"/>
        <v>1.3744788228444382E-2</v>
      </c>
    </row>
    <row r="247" spans="1:10" x14ac:dyDescent="0.3">
      <c r="A247" s="81">
        <v>2000</v>
      </c>
      <c r="B247" s="88">
        <v>12.0604448921488</v>
      </c>
      <c r="C247" s="53">
        <v>14.9610554482264</v>
      </c>
      <c r="D247" s="53">
        <v>50</v>
      </c>
      <c r="E247" s="86">
        <f t="shared" si="19"/>
        <v>2.7066219505503031</v>
      </c>
      <c r="F247" s="86">
        <f t="shared" si="16"/>
        <v>1</v>
      </c>
      <c r="G247" s="86">
        <f>_xlfn.LOGNORM.DIST(C247,Dataset!E$62,Dataset!E$63,TRUE)</f>
        <v>0.99326045389059248</v>
      </c>
      <c r="H247" s="86">
        <f t="shared" si="17"/>
        <v>6.7395461094075237E-3</v>
      </c>
      <c r="I247" s="87">
        <f>EXP(-EXP(-(C247-Dataset!E$59)/Dataset!E$58))</f>
        <v>0.98270533820997841</v>
      </c>
      <c r="J247" s="86">
        <f t="shared" si="18"/>
        <v>1.7294661790021593E-2</v>
      </c>
    </row>
    <row r="249" spans="1:10" x14ac:dyDescent="0.3">
      <c r="A249" s="81" t="s">
        <v>12</v>
      </c>
      <c r="B249" s="53">
        <f>AVERAGE(C198:C247)</f>
        <v>12.015114915596754</v>
      </c>
      <c r="C249" s="80" t="s">
        <v>14</v>
      </c>
      <c r="D249" s="53">
        <v>50</v>
      </c>
      <c r="G249" s="91" t="s">
        <v>25</v>
      </c>
      <c r="H249" s="91">
        <f>MAX(H198:H247)</f>
        <v>8.3451144405053135E-2</v>
      </c>
      <c r="I249" s="91" t="s">
        <v>25</v>
      </c>
      <c r="J249" s="91">
        <f>MAX(J198:J247)</f>
        <v>7.1128351620894481E-2</v>
      </c>
    </row>
    <row r="250" spans="1:10" x14ac:dyDescent="0.3">
      <c r="A250" s="81" t="s">
        <v>13</v>
      </c>
      <c r="B250" s="53">
        <f>_xlfn.STDEV.S(C198:C247)</f>
        <v>1.0884196561070101</v>
      </c>
      <c r="C250" s="80" t="s">
        <v>15</v>
      </c>
      <c r="D250" s="53">
        <v>50</v>
      </c>
      <c r="G250" s="91" t="s">
        <v>23</v>
      </c>
      <c r="H250" s="91">
        <v>0.05</v>
      </c>
      <c r="I250" s="91" t="s">
        <v>23</v>
      </c>
      <c r="J250" s="91">
        <v>0.05</v>
      </c>
    </row>
    <row r="251" spans="1:10" x14ac:dyDescent="0.3">
      <c r="G251" s="91" t="s">
        <v>26</v>
      </c>
      <c r="H251" s="91">
        <v>0.19</v>
      </c>
      <c r="I251" s="91" t="s">
        <v>26</v>
      </c>
      <c r="J251" s="91">
        <v>0.19</v>
      </c>
    </row>
    <row r="252" spans="1:10" x14ac:dyDescent="0.3">
      <c r="G252" s="139" t="s">
        <v>32</v>
      </c>
      <c r="H252" s="139"/>
      <c r="I252" s="139"/>
      <c r="J252" s="139"/>
    </row>
    <row r="253" spans="1:10" x14ac:dyDescent="0.3">
      <c r="A253" s="141" t="s">
        <v>28</v>
      </c>
      <c r="B253" s="141"/>
      <c r="C253" s="141"/>
      <c r="D253" s="141"/>
      <c r="E253" s="141"/>
      <c r="F253" s="141"/>
      <c r="G253" s="141"/>
    </row>
    <row r="254" spans="1:10" x14ac:dyDescent="0.3">
      <c r="A254" s="138" t="s">
        <v>36</v>
      </c>
      <c r="B254" s="138"/>
      <c r="C254" s="138"/>
      <c r="E254" s="142" t="s">
        <v>37</v>
      </c>
      <c r="F254" s="143"/>
      <c r="G254" s="144"/>
    </row>
    <row r="255" spans="1:10" x14ac:dyDescent="0.3">
      <c r="A255" s="88" t="s">
        <v>29</v>
      </c>
      <c r="B255" s="53"/>
      <c r="C255" s="53" cm="1">
        <f t="array" ref="C255">-(SUM(LN(B198:B247)))-((50/2)*LN(Dataset!E$63^2))-((50/2)*LN(2*PI()))-((1/(2*Dataset!E$63^2))*SUM((LN(B198:B247)-Dataset!E$62)^2))</f>
        <v>-74.012492826412597</v>
      </c>
      <c r="E255" s="10" t="s">
        <v>29</v>
      </c>
      <c r="F255" s="11"/>
      <c r="G255" s="12" cm="1">
        <f t="array" ref="G255">-50*LN(Dataset!E$58) + 50*Dataset!E$59/Dataset!E$58 - SUM((B198:B247)/Dataset!E$58) -(EXP(Dataset!E$59/Dataset!E$58)*SUM(EXP(-(B198:B247)/Dataset!E$58)))</f>
        <v>-76.35638954552968</v>
      </c>
    </row>
    <row r="256" spans="1:10" x14ac:dyDescent="0.3">
      <c r="A256" s="90"/>
      <c r="B256" s="53"/>
      <c r="C256" s="53"/>
      <c r="E256" s="10"/>
      <c r="F256" s="11"/>
      <c r="G256" s="12"/>
    </row>
    <row r="257" spans="1:34" x14ac:dyDescent="0.3">
      <c r="A257" s="90" t="s">
        <v>30</v>
      </c>
      <c r="B257" s="53"/>
      <c r="C257" s="53">
        <f>-2*C255+2*2</f>
        <v>152.02498565282519</v>
      </c>
      <c r="E257" s="10" t="s">
        <v>30</v>
      </c>
      <c r="F257" s="11"/>
      <c r="G257" s="12">
        <f>-2*G255+2*2</f>
        <v>156.71277909105936</v>
      </c>
    </row>
    <row r="258" spans="1:34" x14ac:dyDescent="0.3">
      <c r="A258" s="90" t="s">
        <v>31</v>
      </c>
      <c r="B258" s="53"/>
      <c r="C258" s="53">
        <f>-2*C255+2*LN(50)</f>
        <v>155.84903166368147</v>
      </c>
      <c r="E258" s="13" t="s">
        <v>31</v>
      </c>
      <c r="F258" s="14"/>
      <c r="G258" s="15">
        <f>-2*G255+2*LN(50)</f>
        <v>160.53682510191564</v>
      </c>
    </row>
    <row r="259" spans="1:34" x14ac:dyDescent="0.3">
      <c r="A259" s="2" t="s">
        <v>48</v>
      </c>
      <c r="I259" s="21"/>
      <c r="J259" s="21"/>
      <c r="K259" s="21"/>
      <c r="L259" s="21"/>
    </row>
    <row r="261" spans="1:34" x14ac:dyDescent="0.3">
      <c r="A261" s="136" t="s">
        <v>47</v>
      </c>
      <c r="B261" s="136"/>
      <c r="C261" s="136"/>
      <c r="D261" s="136"/>
      <c r="E261" s="136"/>
      <c r="F261" s="136"/>
      <c r="G261" s="136"/>
      <c r="H261" s="136"/>
      <c r="I261" s="136"/>
      <c r="J261" s="136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:34" ht="57.6" x14ac:dyDescent="0.3">
      <c r="A262" s="81" t="s">
        <v>49</v>
      </c>
      <c r="B262" s="80" t="s">
        <v>27</v>
      </c>
      <c r="C262" s="80" t="s">
        <v>11</v>
      </c>
      <c r="D262" s="82" t="s">
        <v>16</v>
      </c>
      <c r="E262" s="83" t="s">
        <v>17</v>
      </c>
      <c r="F262" s="83" t="s">
        <v>18</v>
      </c>
      <c r="G262" s="82" t="s">
        <v>19</v>
      </c>
      <c r="H262" s="82" t="s">
        <v>20</v>
      </c>
      <c r="I262" s="82" t="s">
        <v>21</v>
      </c>
      <c r="J262" s="82" t="s">
        <v>22</v>
      </c>
    </row>
    <row r="263" spans="1:34" x14ac:dyDescent="0.3">
      <c r="A263" s="81">
        <v>1951</v>
      </c>
      <c r="B263" s="88" cm="1">
        <f t="array" ref="B263:B312">Dataset!F$2:F$51</f>
        <v>15.359059650591</v>
      </c>
      <c r="C263" s="53">
        <v>9.9390728644441495</v>
      </c>
      <c r="D263" s="53">
        <v>1</v>
      </c>
      <c r="E263" s="86">
        <f t="shared" ref="E263:E294" si="20">(C263-B$314)/B$315</f>
        <v>-2.7294828193754967</v>
      </c>
      <c r="F263" s="86">
        <f>D263/50</f>
        <v>0.02</v>
      </c>
      <c r="G263" s="86">
        <f>_xlfn.LOGNORM.DIST(C263,Dataset!F$62,Dataset!F$63,TRUE)</f>
        <v>7.7616115935067126E-4</v>
      </c>
      <c r="H263" s="86">
        <f>ABS(G263-F263)</f>
        <v>1.9223838840649328E-2</v>
      </c>
      <c r="I263" s="87">
        <f>EXP(-EXP(-(C263-Dataset!F$59)/Dataset!F$58))</f>
        <v>8.2954490519144624E-9</v>
      </c>
      <c r="J263" s="86">
        <f>ABS(I263-F263)</f>
        <v>1.9999991704550947E-2</v>
      </c>
    </row>
    <row r="264" spans="1:34" x14ac:dyDescent="0.3">
      <c r="A264" s="81">
        <v>1952</v>
      </c>
      <c r="B264" s="88">
        <v>13.5133076442742</v>
      </c>
      <c r="C264" s="53">
        <v>10.3929069923293</v>
      </c>
      <c r="D264" s="53">
        <v>2</v>
      </c>
      <c r="E264" s="86">
        <f t="shared" si="20"/>
        <v>-2.4130891741193827</v>
      </c>
      <c r="F264" s="86">
        <f t="shared" ref="F264:F312" si="21">D264/50</f>
        <v>0.04</v>
      </c>
      <c r="G264" s="86">
        <f>_xlfn.LOGNORM.DIST(C264,Dataset!F$62,Dataset!F$63,TRUE)</f>
        <v>3.1445557060358776E-3</v>
      </c>
      <c r="H264" s="86">
        <f t="shared" ref="H264:H312" si="22">ABS(G264-F264)</f>
        <v>3.6855444293964125E-2</v>
      </c>
      <c r="I264" s="87">
        <f>EXP(-EXP(-(C264-Dataset!F$59)/Dataset!F$58))</f>
        <v>4.114879304119339E-6</v>
      </c>
      <c r="J264" s="86">
        <f t="shared" ref="J264:J312" si="23">ABS(I264-F264)</f>
        <v>3.9995885120695879E-2</v>
      </c>
    </row>
    <row r="265" spans="1:34" x14ac:dyDescent="0.3">
      <c r="A265" s="81">
        <v>1953</v>
      </c>
      <c r="B265" s="88">
        <v>15.434792754438099</v>
      </c>
      <c r="C265" s="53">
        <v>11.5740511283743</v>
      </c>
      <c r="D265" s="53">
        <v>3</v>
      </c>
      <c r="E265" s="86">
        <f t="shared" si="20"/>
        <v>-1.5896462556292745</v>
      </c>
      <c r="F265" s="86">
        <f t="shared" si="21"/>
        <v>0.06</v>
      </c>
      <c r="G265" s="86">
        <f>_xlfn.LOGNORM.DIST(C265,Dataset!F$62,Dataset!F$63,TRUE)</f>
        <v>4.5526646800524512E-2</v>
      </c>
      <c r="H265" s="86">
        <f t="shared" si="22"/>
        <v>1.4473353199475486E-2</v>
      </c>
      <c r="I265" s="87">
        <f>EXP(-EXP(-(C265-Dataset!F$59)/Dataset!F$58))</f>
        <v>1.3392865862016077E-2</v>
      </c>
      <c r="J265" s="86">
        <f t="shared" si="23"/>
        <v>4.6607134137983924E-2</v>
      </c>
    </row>
    <row r="266" spans="1:34" x14ac:dyDescent="0.3">
      <c r="A266" s="81">
        <v>1954</v>
      </c>
      <c r="B266" s="88">
        <v>15.3961012104205</v>
      </c>
      <c r="C266" s="53">
        <v>12.1050941927667</v>
      </c>
      <c r="D266" s="53">
        <v>4</v>
      </c>
      <c r="E266" s="86">
        <f t="shared" si="20"/>
        <v>-1.2194258587762459</v>
      </c>
      <c r="F266" s="86">
        <f t="shared" si="21"/>
        <v>0.08</v>
      </c>
      <c r="G266" s="86">
        <f>_xlfn.LOGNORM.DIST(C266,Dataset!F$62,Dataset!F$63,TRUE)</f>
        <v>0.10466334996607952</v>
      </c>
      <c r="H266" s="86">
        <f t="shared" si="22"/>
        <v>2.4663349966079523E-2</v>
      </c>
      <c r="I266" s="87">
        <f>EXP(-EXP(-(C266-Dataset!F$59)/Dataset!F$58))</f>
        <v>6.8381581280143502E-2</v>
      </c>
      <c r="J266" s="86">
        <f t="shared" si="23"/>
        <v>1.1618418719856499E-2</v>
      </c>
    </row>
    <row r="267" spans="1:34" x14ac:dyDescent="0.3">
      <c r="A267" s="81">
        <v>1955</v>
      </c>
      <c r="B267" s="88">
        <v>13.2650799627314</v>
      </c>
      <c r="C267" s="53">
        <v>12.270052830879701</v>
      </c>
      <c r="D267" s="53">
        <v>5</v>
      </c>
      <c r="E267" s="86">
        <f t="shared" si="20"/>
        <v>-1.1044237872655187</v>
      </c>
      <c r="F267" s="86">
        <f t="shared" si="21"/>
        <v>0.1</v>
      </c>
      <c r="G267" s="86">
        <f>_xlfn.LOGNORM.DIST(C267,Dataset!F$62,Dataset!F$63,TRUE)</f>
        <v>0.13043461285831232</v>
      </c>
      <c r="H267" s="86">
        <f t="shared" si="22"/>
        <v>3.043461285831231E-2</v>
      </c>
      <c r="I267" s="87">
        <f>EXP(-EXP(-(C267-Dataset!F$59)/Dataset!F$58))</f>
        <v>9.8789680789763482E-2</v>
      </c>
      <c r="J267" s="86">
        <f t="shared" si="23"/>
        <v>1.210319210236524E-3</v>
      </c>
    </row>
    <row r="268" spans="1:34" x14ac:dyDescent="0.3">
      <c r="A268" s="81">
        <v>1956</v>
      </c>
      <c r="B268" s="88">
        <v>14.136553350745</v>
      </c>
      <c r="C268" s="53">
        <v>12.4455746496297</v>
      </c>
      <c r="D268" s="53">
        <v>6</v>
      </c>
      <c r="E268" s="86">
        <f t="shared" si="20"/>
        <v>-0.98205752028801874</v>
      </c>
      <c r="F268" s="86">
        <f t="shared" si="21"/>
        <v>0.12</v>
      </c>
      <c r="G268" s="86">
        <f>_xlfn.LOGNORM.DIST(C268,Dataset!F$62,Dataset!F$63,TRUE)</f>
        <v>0.16187365857065517</v>
      </c>
      <c r="H268" s="86">
        <f t="shared" si="22"/>
        <v>4.187365857065517E-2</v>
      </c>
      <c r="I268" s="87">
        <f>EXP(-EXP(-(C268-Dataset!F$59)/Dataset!F$58))</f>
        <v>0.13826993989317091</v>
      </c>
      <c r="J268" s="86">
        <f t="shared" si="23"/>
        <v>1.8269939893170911E-2</v>
      </c>
    </row>
    <row r="269" spans="1:34" x14ac:dyDescent="0.3">
      <c r="A269" s="81">
        <v>1957</v>
      </c>
      <c r="B269" s="88">
        <v>14.128761539432301</v>
      </c>
      <c r="C269" s="53">
        <v>12.5336310173894</v>
      </c>
      <c r="D269" s="53">
        <v>7</v>
      </c>
      <c r="E269" s="86">
        <f t="shared" si="20"/>
        <v>-0.92066840591415444</v>
      </c>
      <c r="F269" s="86">
        <f t="shared" si="21"/>
        <v>0.14000000000000001</v>
      </c>
      <c r="G269" s="86">
        <f>_xlfn.LOGNORM.DIST(C269,Dataset!F$62,Dataset!F$63,TRUE)</f>
        <v>0.17917656225207726</v>
      </c>
      <c r="H269" s="86">
        <f t="shared" si="22"/>
        <v>3.9176562252077246E-2</v>
      </c>
      <c r="I269" s="87">
        <f>EXP(-EXP(-(C269-Dataset!F$59)/Dataset!F$58))</f>
        <v>0.16061594341905944</v>
      </c>
      <c r="J269" s="86">
        <f t="shared" si="23"/>
        <v>2.0615943419059424E-2</v>
      </c>
      <c r="S269" s="1"/>
    </row>
    <row r="270" spans="1:34" x14ac:dyDescent="0.3">
      <c r="A270" s="81">
        <v>1958</v>
      </c>
      <c r="B270" s="88">
        <v>13.135278423211799</v>
      </c>
      <c r="C270" s="53">
        <v>12.800594550719801</v>
      </c>
      <c r="D270" s="53">
        <v>8</v>
      </c>
      <c r="E270" s="86">
        <f t="shared" si="20"/>
        <v>-0.73455290628334458</v>
      </c>
      <c r="F270" s="86">
        <f t="shared" si="21"/>
        <v>0.16</v>
      </c>
      <c r="G270" s="86">
        <f>_xlfn.LOGNORM.DIST(C270,Dataset!F$62,Dataset!F$63,TRUE)</f>
        <v>0.23749034453689968</v>
      </c>
      <c r="H270" s="86">
        <f t="shared" si="22"/>
        <v>7.749034453689968E-2</v>
      </c>
      <c r="I270" s="87">
        <f>EXP(-EXP(-(C270-Dataset!F$59)/Dataset!F$58))</f>
        <v>0.2368334387079824</v>
      </c>
      <c r="J270" s="86">
        <f t="shared" si="23"/>
        <v>7.6833438707982399E-2</v>
      </c>
    </row>
    <row r="271" spans="1:34" x14ac:dyDescent="0.3">
      <c r="A271" s="81">
        <v>1959</v>
      </c>
      <c r="B271" s="88">
        <v>10.3929069923293</v>
      </c>
      <c r="C271" s="53">
        <v>12.8184840869504</v>
      </c>
      <c r="D271" s="53">
        <v>9</v>
      </c>
      <c r="E271" s="86">
        <f t="shared" si="20"/>
        <v>-0.72208109063052717</v>
      </c>
      <c r="F271" s="86">
        <f t="shared" si="21"/>
        <v>0.18</v>
      </c>
      <c r="G271" s="86">
        <f>_xlfn.LOGNORM.DIST(C271,Dataset!F$62,Dataset!F$63,TRUE)</f>
        <v>0.24169092823322136</v>
      </c>
      <c r="H271" s="86">
        <f t="shared" si="22"/>
        <v>6.1690928233221365E-2</v>
      </c>
      <c r="I271" s="87">
        <f>EXP(-EXP(-(C271-Dataset!F$59)/Dataset!F$58))</f>
        <v>0.24230917116076273</v>
      </c>
      <c r="J271" s="86">
        <f t="shared" si="23"/>
        <v>6.2309171160762733E-2</v>
      </c>
    </row>
    <row r="272" spans="1:34" x14ac:dyDescent="0.3">
      <c r="A272" s="81">
        <v>1960</v>
      </c>
      <c r="B272" s="88">
        <v>13.739505637851099</v>
      </c>
      <c r="C272" s="53">
        <v>12.8529731486414</v>
      </c>
      <c r="D272" s="53">
        <v>10</v>
      </c>
      <c r="E272" s="86">
        <f t="shared" si="20"/>
        <v>-0.698036799380928</v>
      </c>
      <c r="F272" s="86">
        <f t="shared" si="21"/>
        <v>0.2</v>
      </c>
      <c r="G272" s="86">
        <f>_xlfn.LOGNORM.DIST(C272,Dataset!F$62,Dataset!F$63,TRUE)</f>
        <v>0.24988485697043555</v>
      </c>
      <c r="H272" s="86">
        <f t="shared" si="22"/>
        <v>4.9884856970435543E-2</v>
      </c>
      <c r="I272" s="87">
        <f>EXP(-EXP(-(C272-Dataset!F$59)/Dataset!F$58))</f>
        <v>0.25296782328198142</v>
      </c>
      <c r="J272" s="86">
        <f t="shared" si="23"/>
        <v>5.2967823281981408E-2</v>
      </c>
    </row>
    <row r="273" spans="1:10" x14ac:dyDescent="0.3">
      <c r="A273" s="81">
        <v>1961</v>
      </c>
      <c r="B273" s="88">
        <v>13.431797173269</v>
      </c>
      <c r="C273" s="53">
        <v>13.013426915198201</v>
      </c>
      <c r="D273" s="53">
        <v>11</v>
      </c>
      <c r="E273" s="86">
        <f t="shared" si="20"/>
        <v>-0.58617533067087335</v>
      </c>
      <c r="F273" s="86">
        <f t="shared" si="21"/>
        <v>0.22</v>
      </c>
      <c r="G273" s="86">
        <f>_xlfn.LOGNORM.DIST(C273,Dataset!F$62,Dataset!F$63,TRUE)</f>
        <v>0.28954897713571581</v>
      </c>
      <c r="H273" s="86">
        <f t="shared" si="22"/>
        <v>6.9548977135715812E-2</v>
      </c>
      <c r="I273" s="87">
        <f>EXP(-EXP(-(C273-Dataset!F$59)/Dataset!F$58))</f>
        <v>0.30398204305215243</v>
      </c>
      <c r="J273" s="86">
        <f t="shared" si="23"/>
        <v>8.3982043052152427E-2</v>
      </c>
    </row>
    <row r="274" spans="1:10" x14ac:dyDescent="0.3">
      <c r="A274" s="81">
        <v>1962</v>
      </c>
      <c r="B274" s="88">
        <v>15.434946496004001</v>
      </c>
      <c r="C274" s="53">
        <v>13.0377312507316</v>
      </c>
      <c r="D274" s="53">
        <v>12</v>
      </c>
      <c r="E274" s="86">
        <f t="shared" si="20"/>
        <v>-0.56923139269341505</v>
      </c>
      <c r="F274" s="86">
        <f t="shared" si="21"/>
        <v>0.24</v>
      </c>
      <c r="G274" s="86">
        <f>_xlfn.LOGNORM.DIST(C274,Dataset!F$62,Dataset!F$63,TRUE)</f>
        <v>0.29576064575640398</v>
      </c>
      <c r="H274" s="86">
        <f t="shared" si="22"/>
        <v>5.5760645756403993E-2</v>
      </c>
      <c r="I274" s="87">
        <f>EXP(-EXP(-(C274-Dataset!F$59)/Dataset!F$58))</f>
        <v>0.31186409513648605</v>
      </c>
      <c r="J274" s="86">
        <f t="shared" si="23"/>
        <v>7.1864095136486061E-2</v>
      </c>
    </row>
    <row r="275" spans="1:10" x14ac:dyDescent="0.3">
      <c r="A275" s="81">
        <v>1963</v>
      </c>
      <c r="B275" s="88">
        <v>14.8361132517154</v>
      </c>
      <c r="C275" s="53">
        <v>13.045699995403499</v>
      </c>
      <c r="D275" s="53">
        <v>13</v>
      </c>
      <c r="E275" s="86">
        <f t="shared" si="20"/>
        <v>-0.56367592645598941</v>
      </c>
      <c r="F275" s="86">
        <f t="shared" si="21"/>
        <v>0.26</v>
      </c>
      <c r="G275" s="86">
        <f>_xlfn.LOGNORM.DIST(C275,Dataset!F$62,Dataset!F$63,TRUE)</f>
        <v>0.29780799234559907</v>
      </c>
      <c r="H275" s="86">
        <f t="shared" si="22"/>
        <v>3.7807992345599062E-2</v>
      </c>
      <c r="I275" s="87">
        <f>EXP(-EXP(-(C275-Dataset!F$59)/Dataset!F$58))</f>
        <v>0.31445478900109397</v>
      </c>
      <c r="J275" s="86">
        <f t="shared" si="23"/>
        <v>5.4454789001093962E-2</v>
      </c>
    </row>
    <row r="276" spans="1:10" x14ac:dyDescent="0.3">
      <c r="A276" s="81">
        <v>1964</v>
      </c>
      <c r="B276" s="88">
        <v>12.1050941927667</v>
      </c>
      <c r="C276" s="53">
        <v>13.0688012076997</v>
      </c>
      <c r="D276" s="53">
        <v>14</v>
      </c>
      <c r="E276" s="86">
        <f t="shared" si="20"/>
        <v>-0.54757075428154256</v>
      </c>
      <c r="F276" s="86">
        <f t="shared" si="21"/>
        <v>0.28000000000000003</v>
      </c>
      <c r="G276" s="86">
        <f>_xlfn.LOGNORM.DIST(C276,Dataset!F$62,Dataset!F$63,TRUE)</f>
        <v>0.30377227705601439</v>
      </c>
      <c r="H276" s="86">
        <f t="shared" si="22"/>
        <v>2.3772277056014368E-2</v>
      </c>
      <c r="I276" s="87">
        <f>EXP(-EXP(-(C276-Dataset!F$59)/Dataset!F$58))</f>
        <v>0.32198100055404177</v>
      </c>
      <c r="J276" s="86">
        <f t="shared" si="23"/>
        <v>4.1981000554041747E-2</v>
      </c>
    </row>
    <row r="277" spans="1:10" x14ac:dyDescent="0.3">
      <c r="A277" s="81">
        <v>1965</v>
      </c>
      <c r="B277" s="88">
        <v>12.5336310173894</v>
      </c>
      <c r="C277" s="53">
        <v>13.135278423211799</v>
      </c>
      <c r="D277" s="53">
        <v>15</v>
      </c>
      <c r="E277" s="86">
        <f t="shared" si="20"/>
        <v>-0.50122569724415689</v>
      </c>
      <c r="F277" s="86">
        <f t="shared" si="21"/>
        <v>0.3</v>
      </c>
      <c r="G277" s="86">
        <f>_xlfn.LOGNORM.DIST(C277,Dataset!F$62,Dataset!F$63,TRUE)</f>
        <v>0.32116454566983321</v>
      </c>
      <c r="H277" s="86">
        <f t="shared" si="22"/>
        <v>2.1164545669833223E-2</v>
      </c>
      <c r="I277" s="87">
        <f>EXP(-EXP(-(C277-Dataset!F$59)/Dataset!F$58))</f>
        <v>0.34374217786477851</v>
      </c>
      <c r="J277" s="86">
        <f t="shared" si="23"/>
        <v>4.374217786477852E-2</v>
      </c>
    </row>
    <row r="278" spans="1:10" x14ac:dyDescent="0.3">
      <c r="A278" s="81">
        <v>1966</v>
      </c>
      <c r="B278" s="88">
        <v>16.6477308529821</v>
      </c>
      <c r="C278" s="53">
        <v>13.151243674233701</v>
      </c>
      <c r="D278" s="53">
        <v>16</v>
      </c>
      <c r="E278" s="86">
        <f t="shared" si="20"/>
        <v>-0.49009541052070749</v>
      </c>
      <c r="F278" s="86">
        <f t="shared" si="21"/>
        <v>0.32</v>
      </c>
      <c r="G278" s="86">
        <f>_xlfn.LOGNORM.DIST(C278,Dataset!F$62,Dataset!F$63,TRUE)</f>
        <v>0.32538919711310271</v>
      </c>
      <c r="H278" s="86">
        <f t="shared" si="22"/>
        <v>5.3891971131027061E-3</v>
      </c>
      <c r="I278" s="87">
        <f>EXP(-EXP(-(C278-Dataset!F$59)/Dataset!F$58))</f>
        <v>0.34898460627992778</v>
      </c>
      <c r="J278" s="86">
        <f t="shared" si="23"/>
        <v>2.8984606279927771E-2</v>
      </c>
    </row>
    <row r="279" spans="1:10" x14ac:dyDescent="0.3">
      <c r="A279" s="81">
        <v>1967</v>
      </c>
      <c r="B279" s="88">
        <v>12.8184840869504</v>
      </c>
      <c r="C279" s="53">
        <v>13.215736409969599</v>
      </c>
      <c r="D279" s="53">
        <v>17</v>
      </c>
      <c r="E279" s="86">
        <f t="shared" si="20"/>
        <v>-0.44513384747760382</v>
      </c>
      <c r="F279" s="86">
        <f t="shared" si="21"/>
        <v>0.34</v>
      </c>
      <c r="G279" s="86">
        <f>_xlfn.LOGNORM.DIST(C279,Dataset!F$62,Dataset!F$63,TRUE)</f>
        <v>0.34262641917612202</v>
      </c>
      <c r="H279" s="86">
        <f t="shared" si="22"/>
        <v>2.6264191761219968E-3</v>
      </c>
      <c r="I279" s="87">
        <f>EXP(-EXP(-(C279-Dataset!F$59)/Dataset!F$58))</f>
        <v>0.37019052481947157</v>
      </c>
      <c r="J279" s="86">
        <f t="shared" si="23"/>
        <v>3.0190524819471543E-2</v>
      </c>
    </row>
    <row r="280" spans="1:10" x14ac:dyDescent="0.3">
      <c r="A280" s="81">
        <v>1968</v>
      </c>
      <c r="B280" s="88">
        <v>13.685094590310801</v>
      </c>
      <c r="C280" s="53">
        <v>13.2389032283922</v>
      </c>
      <c r="D280" s="53">
        <v>18</v>
      </c>
      <c r="E280" s="86">
        <f t="shared" si="20"/>
        <v>-0.42898293753200356</v>
      </c>
      <c r="F280" s="86">
        <f t="shared" si="21"/>
        <v>0.36</v>
      </c>
      <c r="G280" s="86">
        <f>_xlfn.LOGNORM.DIST(C280,Dataset!F$62,Dataset!F$63,TRUE)</f>
        <v>0.34888070897009021</v>
      </c>
      <c r="H280" s="86">
        <f t="shared" si="22"/>
        <v>1.1119291029909772E-2</v>
      </c>
      <c r="I280" s="87">
        <f>EXP(-EXP(-(C280-Dataset!F$59)/Dataset!F$58))</f>
        <v>0.37780987685079104</v>
      </c>
      <c r="J280" s="86">
        <f t="shared" si="23"/>
        <v>1.7809876850791051E-2</v>
      </c>
    </row>
    <row r="281" spans="1:10" x14ac:dyDescent="0.3">
      <c r="A281" s="81">
        <v>1969</v>
      </c>
      <c r="B281" s="88">
        <v>13.559282249805999</v>
      </c>
      <c r="C281" s="53">
        <v>13.2650799627314</v>
      </c>
      <c r="D281" s="53">
        <v>19</v>
      </c>
      <c r="E281" s="86">
        <f t="shared" si="20"/>
        <v>-0.41073364359486608</v>
      </c>
      <c r="F281" s="86">
        <f t="shared" si="21"/>
        <v>0.38</v>
      </c>
      <c r="G281" s="86">
        <f>_xlfn.LOGNORM.DIST(C281,Dataset!F$62,Dataset!F$63,TRUE)</f>
        <v>0.35598393712198972</v>
      </c>
      <c r="H281" s="86">
        <f t="shared" si="22"/>
        <v>2.401606287801028E-2</v>
      </c>
      <c r="I281" s="87">
        <f>EXP(-EXP(-(C281-Dataset!F$59)/Dataset!F$58))</f>
        <v>0.38641394710632249</v>
      </c>
      <c r="J281" s="86">
        <f t="shared" si="23"/>
        <v>6.4139471063224818E-3</v>
      </c>
    </row>
    <row r="282" spans="1:10" x14ac:dyDescent="0.3">
      <c r="A282" s="81">
        <v>1970</v>
      </c>
      <c r="B282" s="88">
        <v>15.768883592625301</v>
      </c>
      <c r="C282" s="53">
        <v>13.3616818192703</v>
      </c>
      <c r="D282" s="53">
        <v>20</v>
      </c>
      <c r="E282" s="86">
        <f t="shared" si="20"/>
        <v>-0.3433869817841318</v>
      </c>
      <c r="F282" s="86">
        <f t="shared" si="21"/>
        <v>0.4</v>
      </c>
      <c r="G282" s="86">
        <f>_xlfn.LOGNORM.DIST(C282,Dataset!F$62,Dataset!F$63,TRUE)</f>
        <v>0.38249126548582268</v>
      </c>
      <c r="H282" s="86">
        <f t="shared" si="22"/>
        <v>1.7508734514177338E-2</v>
      </c>
      <c r="I282" s="87">
        <f>EXP(-EXP(-(C282-Dataset!F$59)/Dataset!F$58))</f>
        <v>0.41804681496310325</v>
      </c>
      <c r="J282" s="86">
        <f t="shared" si="23"/>
        <v>1.804681496310323E-2</v>
      </c>
    </row>
    <row r="283" spans="1:10" x14ac:dyDescent="0.3">
      <c r="A283" s="81">
        <v>1971</v>
      </c>
      <c r="B283" s="88">
        <v>13.4274277961861</v>
      </c>
      <c r="C283" s="53">
        <v>13.4274277961861</v>
      </c>
      <c r="D283" s="53">
        <v>21</v>
      </c>
      <c r="E283" s="86">
        <f t="shared" si="20"/>
        <v>-0.29755171286275556</v>
      </c>
      <c r="F283" s="86">
        <f t="shared" si="21"/>
        <v>0.42</v>
      </c>
      <c r="G283" s="86">
        <f>_xlfn.LOGNORM.DIST(C283,Dataset!F$62,Dataset!F$63,TRUE)</f>
        <v>0.40074883673957373</v>
      </c>
      <c r="H283" s="86">
        <f t="shared" si="22"/>
        <v>1.9251163260426252E-2</v>
      </c>
      <c r="I283" s="87">
        <f>EXP(-EXP(-(C283-Dataset!F$59)/Dataset!F$58))</f>
        <v>0.4393900031237345</v>
      </c>
      <c r="J283" s="86">
        <f t="shared" si="23"/>
        <v>1.9390003123734512E-2</v>
      </c>
    </row>
    <row r="284" spans="1:10" x14ac:dyDescent="0.3">
      <c r="A284" s="81">
        <v>1972</v>
      </c>
      <c r="B284" s="88">
        <v>13.3616818192703</v>
      </c>
      <c r="C284" s="53">
        <v>13.431797173269</v>
      </c>
      <c r="D284" s="53">
        <v>22</v>
      </c>
      <c r="E284" s="86">
        <f t="shared" si="20"/>
        <v>-0.29450557098444519</v>
      </c>
      <c r="F284" s="86">
        <f t="shared" si="21"/>
        <v>0.44</v>
      </c>
      <c r="G284" s="86">
        <f>_xlfn.LOGNORM.DIST(C284,Dataset!F$62,Dataset!F$63,TRUE)</f>
        <v>0.40196722054025075</v>
      </c>
      <c r="H284" s="86">
        <f t="shared" si="22"/>
        <v>3.8032779459749255E-2</v>
      </c>
      <c r="I284" s="87">
        <f>EXP(-EXP(-(C284-Dataset!F$59)/Dataset!F$58))</f>
        <v>0.44080123308177455</v>
      </c>
      <c r="J284" s="86">
        <f t="shared" si="23"/>
        <v>8.0123308177454389E-4</v>
      </c>
    </row>
    <row r="285" spans="1:10" x14ac:dyDescent="0.3">
      <c r="A285" s="81">
        <v>1973</v>
      </c>
      <c r="B285" s="88">
        <v>14.832843735584801</v>
      </c>
      <c r="C285" s="53">
        <v>13.5133076442742</v>
      </c>
      <c r="D285" s="53">
        <v>23</v>
      </c>
      <c r="E285" s="86">
        <f t="shared" si="20"/>
        <v>-0.23767997444313763</v>
      </c>
      <c r="F285" s="86">
        <f t="shared" si="21"/>
        <v>0.46</v>
      </c>
      <c r="G285" s="86">
        <f>_xlfn.LOGNORM.DIST(C285,Dataset!F$62,Dataset!F$63,TRUE)</f>
        <v>0.42478516791952836</v>
      </c>
      <c r="H285" s="86">
        <f t="shared" si="22"/>
        <v>3.5214832080471659E-2</v>
      </c>
      <c r="I285" s="87">
        <f>EXP(-EXP(-(C285-Dataset!F$59)/Dataset!F$58))</f>
        <v>0.46692718129241378</v>
      </c>
      <c r="J285" s="86">
        <f t="shared" si="23"/>
        <v>6.9271812924137643E-3</v>
      </c>
    </row>
    <row r="286" spans="1:10" x14ac:dyDescent="0.3">
      <c r="A286" s="81">
        <v>1974</v>
      </c>
      <c r="B286" s="88">
        <v>15.025594182258001</v>
      </c>
      <c r="C286" s="53">
        <v>13.559282249805999</v>
      </c>
      <c r="D286" s="53">
        <v>24</v>
      </c>
      <c r="E286" s="86">
        <f t="shared" si="20"/>
        <v>-0.2056284557501688</v>
      </c>
      <c r="F286" s="86">
        <f t="shared" si="21"/>
        <v>0.48</v>
      </c>
      <c r="G286" s="86">
        <f>_xlfn.LOGNORM.DIST(C286,Dataset!F$62,Dataset!F$63,TRUE)</f>
        <v>0.43771122140457303</v>
      </c>
      <c r="H286" s="86">
        <f t="shared" si="22"/>
        <v>4.2288778595426957E-2</v>
      </c>
      <c r="I286" s="87">
        <f>EXP(-EXP(-(C286-Dataset!F$59)/Dataset!F$58))</f>
        <v>0.48147101406624049</v>
      </c>
      <c r="J286" s="86">
        <f t="shared" si="23"/>
        <v>1.4710140662405058E-3</v>
      </c>
    </row>
    <row r="287" spans="1:10" x14ac:dyDescent="0.3">
      <c r="A287" s="81">
        <v>1975</v>
      </c>
      <c r="B287" s="88">
        <v>11.5740511283743</v>
      </c>
      <c r="C287" s="53">
        <v>13.685094590310801</v>
      </c>
      <c r="D287" s="53">
        <v>25</v>
      </c>
      <c r="E287" s="86">
        <f t="shared" si="20"/>
        <v>-0.11791750017260362</v>
      </c>
      <c r="F287" s="86">
        <f t="shared" si="21"/>
        <v>0.5</v>
      </c>
      <c r="G287" s="86">
        <f>_xlfn.LOGNORM.DIST(C287,Dataset!F$62,Dataset!F$63,TRUE)</f>
        <v>0.47315923994787545</v>
      </c>
      <c r="H287" s="86">
        <f t="shared" si="22"/>
        <v>2.6840760052124546E-2</v>
      </c>
      <c r="I287" s="87">
        <f>EXP(-EXP(-(C287-Dataset!F$59)/Dataset!F$58))</f>
        <v>0.52040848547108531</v>
      </c>
      <c r="J287" s="86">
        <f t="shared" si="23"/>
        <v>2.0408485471085314E-2</v>
      </c>
    </row>
    <row r="288" spans="1:10" x14ac:dyDescent="0.3">
      <c r="A288" s="81">
        <v>1976</v>
      </c>
      <c r="B288" s="88">
        <v>14.105352325821199</v>
      </c>
      <c r="C288" s="53">
        <v>13.7183930924247</v>
      </c>
      <c r="D288" s="53">
        <v>26</v>
      </c>
      <c r="E288" s="86">
        <f t="shared" si="20"/>
        <v>-9.4703215882262354E-2</v>
      </c>
      <c r="F288" s="86">
        <f t="shared" si="21"/>
        <v>0.52</v>
      </c>
      <c r="G288" s="86">
        <f>_xlfn.LOGNORM.DIST(C288,Dataset!F$62,Dataset!F$63,TRUE)</f>
        <v>0.48253379354996906</v>
      </c>
      <c r="H288" s="86">
        <f t="shared" si="22"/>
        <v>3.7466206450030959E-2</v>
      </c>
      <c r="I288" s="87">
        <f>EXP(-EXP(-(C288-Dataset!F$59)/Dataset!F$58))</f>
        <v>0.53047565981125522</v>
      </c>
      <c r="J288" s="86">
        <f t="shared" si="23"/>
        <v>1.04756598112552E-2</v>
      </c>
    </row>
    <row r="289" spans="1:10" x14ac:dyDescent="0.3">
      <c r="A289" s="81">
        <v>1977</v>
      </c>
      <c r="B289" s="88">
        <v>15.806346074271801</v>
      </c>
      <c r="C289" s="53">
        <v>13.739505637851099</v>
      </c>
      <c r="D289" s="53">
        <v>27</v>
      </c>
      <c r="E289" s="86">
        <f t="shared" si="20"/>
        <v>-7.9984456763767142E-2</v>
      </c>
      <c r="F289" s="86">
        <f t="shared" si="21"/>
        <v>0.54</v>
      </c>
      <c r="G289" s="86">
        <f>_xlfn.LOGNORM.DIST(C289,Dataset!F$62,Dataset!F$63,TRUE)</f>
        <v>0.48847116711680771</v>
      </c>
      <c r="H289" s="86">
        <f t="shared" si="22"/>
        <v>5.1528832883192321E-2</v>
      </c>
      <c r="I289" s="87">
        <f>EXP(-EXP(-(C289-Dataset!F$59)/Dataset!F$58))</f>
        <v>0.5368024027857482</v>
      </c>
      <c r="J289" s="86">
        <f t="shared" si="23"/>
        <v>3.197597214251835E-3</v>
      </c>
    </row>
    <row r="290" spans="1:10" x14ac:dyDescent="0.3">
      <c r="A290" s="81">
        <v>1978</v>
      </c>
      <c r="B290" s="88">
        <v>13.0688012076997</v>
      </c>
      <c r="C290" s="53">
        <v>13.7621627343337</v>
      </c>
      <c r="D290" s="53">
        <v>28</v>
      </c>
      <c r="E290" s="86">
        <f t="shared" si="20"/>
        <v>-6.4188903043612591E-2</v>
      </c>
      <c r="F290" s="86">
        <f t="shared" si="21"/>
        <v>0.56000000000000005</v>
      </c>
      <c r="G290" s="86">
        <f>_xlfn.LOGNORM.DIST(C290,Dataset!F$62,Dataset!F$63,TRUE)</f>
        <v>0.49483556816256435</v>
      </c>
      <c r="H290" s="86">
        <f t="shared" si="22"/>
        <v>6.5164431837435699E-2</v>
      </c>
      <c r="I290" s="87">
        <f>EXP(-EXP(-(C290-Dataset!F$59)/Dataset!F$58))</f>
        <v>0.54354194548413504</v>
      </c>
      <c r="J290" s="86">
        <f t="shared" si="23"/>
        <v>1.6458054515865017E-2</v>
      </c>
    </row>
    <row r="291" spans="1:10" x14ac:dyDescent="0.3">
      <c r="A291" s="81">
        <v>1979</v>
      </c>
      <c r="B291" s="88">
        <v>13.013426915198201</v>
      </c>
      <c r="C291" s="53">
        <v>14.0620570936939</v>
      </c>
      <c r="D291" s="53">
        <v>29</v>
      </c>
      <c r="E291" s="86">
        <f t="shared" si="20"/>
        <v>0.14488455291678365</v>
      </c>
      <c r="F291" s="86">
        <f t="shared" si="21"/>
        <v>0.57999999999999996</v>
      </c>
      <c r="G291" s="86">
        <f>_xlfn.LOGNORM.DIST(C291,Dataset!F$62,Dataset!F$63,TRUE)</f>
        <v>0.57762538818770937</v>
      </c>
      <c r="H291" s="86">
        <f t="shared" si="22"/>
        <v>2.3746118122905946E-3</v>
      </c>
      <c r="I291" s="87">
        <f>EXP(-EXP(-(C291-Dataset!F$59)/Dataset!F$58))</f>
        <v>0.62734810868503399</v>
      </c>
      <c r="J291" s="86">
        <f t="shared" si="23"/>
        <v>4.7348108685034029E-2</v>
      </c>
    </row>
    <row r="292" spans="1:10" x14ac:dyDescent="0.3">
      <c r="A292" s="81">
        <v>1980</v>
      </c>
      <c r="B292" s="88">
        <v>13.7621627343337</v>
      </c>
      <c r="C292" s="53">
        <v>14.105352325821199</v>
      </c>
      <c r="D292" s="53">
        <v>30</v>
      </c>
      <c r="E292" s="86">
        <f t="shared" si="20"/>
        <v>0.17506812764881086</v>
      </c>
      <c r="F292" s="86">
        <f t="shared" si="21"/>
        <v>0.6</v>
      </c>
      <c r="G292" s="86">
        <f>_xlfn.LOGNORM.DIST(C292,Dataset!F$62,Dataset!F$63,TRUE)</f>
        <v>0.58924119072855718</v>
      </c>
      <c r="H292" s="86">
        <f t="shared" si="22"/>
        <v>1.0758809271442793E-2</v>
      </c>
      <c r="I292" s="87">
        <f>EXP(-EXP(-(C292-Dataset!F$59)/Dataset!F$58))</f>
        <v>0.63855423555285395</v>
      </c>
      <c r="J292" s="86">
        <f t="shared" si="23"/>
        <v>3.8554235552853977E-2</v>
      </c>
    </row>
    <row r="293" spans="1:10" x14ac:dyDescent="0.3">
      <c r="A293" s="81">
        <v>1981</v>
      </c>
      <c r="B293" s="88">
        <v>12.800594550719801</v>
      </c>
      <c r="C293" s="53">
        <v>14.128761539432301</v>
      </c>
      <c r="D293" s="53">
        <v>31</v>
      </c>
      <c r="E293" s="86">
        <f t="shared" si="20"/>
        <v>0.19138802510013189</v>
      </c>
      <c r="F293" s="86">
        <f t="shared" si="21"/>
        <v>0.62</v>
      </c>
      <c r="G293" s="86">
        <f>_xlfn.LOGNORM.DIST(C293,Dataset!F$62,Dataset!F$63,TRUE)</f>
        <v>0.5954752141748535</v>
      </c>
      <c r="H293" s="86">
        <f t="shared" si="22"/>
        <v>2.45247858251465E-2</v>
      </c>
      <c r="I293" s="87">
        <f>EXP(-EXP(-(C293-Dataset!F$59)/Dataset!F$58))</f>
        <v>0.64451482994547848</v>
      </c>
      <c r="J293" s="86">
        <f t="shared" si="23"/>
        <v>2.4514829945478489E-2</v>
      </c>
    </row>
    <row r="294" spans="1:10" x14ac:dyDescent="0.3">
      <c r="A294" s="81">
        <v>1982</v>
      </c>
      <c r="B294" s="88">
        <v>17.121310103692601</v>
      </c>
      <c r="C294" s="53">
        <v>14.136553350745</v>
      </c>
      <c r="D294" s="53">
        <v>32</v>
      </c>
      <c r="E294" s="86">
        <f t="shared" si="20"/>
        <v>0.19682014100525572</v>
      </c>
      <c r="F294" s="86">
        <f t="shared" si="21"/>
        <v>0.64</v>
      </c>
      <c r="G294" s="86">
        <f>_xlfn.LOGNORM.DIST(C294,Dataset!F$62,Dataset!F$63,TRUE)</f>
        <v>0.59754265842298537</v>
      </c>
      <c r="H294" s="86">
        <f t="shared" si="22"/>
        <v>4.245734157701464E-2</v>
      </c>
      <c r="I294" s="87">
        <f>EXP(-EXP(-(C294-Dataset!F$59)/Dataset!F$58))</f>
        <v>0.6464834160897347</v>
      </c>
      <c r="J294" s="86">
        <f t="shared" si="23"/>
        <v>6.4834160897346838E-3</v>
      </c>
    </row>
    <row r="295" spans="1:10" x14ac:dyDescent="0.3">
      <c r="A295" s="81">
        <v>1983</v>
      </c>
      <c r="B295" s="88">
        <v>13.7183930924247</v>
      </c>
      <c r="C295" s="53">
        <v>14.294135735706099</v>
      </c>
      <c r="D295" s="53">
        <v>33</v>
      </c>
      <c r="E295" s="86">
        <f t="shared" ref="E295:E312" si="24">(C295-B$314)/B$315</f>
        <v>0.30667980589720878</v>
      </c>
      <c r="F295" s="86">
        <f t="shared" si="21"/>
        <v>0.66</v>
      </c>
      <c r="G295" s="86">
        <f>_xlfn.LOGNORM.DIST(C295,Dataset!F$62,Dataset!F$63,TRUE)</f>
        <v>0.63846084344889942</v>
      </c>
      <c r="H295" s="86">
        <f t="shared" si="22"/>
        <v>2.1539156551100613E-2</v>
      </c>
      <c r="I295" s="87">
        <f>EXP(-EXP(-(C295-Dataset!F$59)/Dataset!F$58))</f>
        <v>0.68462887042093201</v>
      </c>
      <c r="J295" s="86">
        <f t="shared" si="23"/>
        <v>2.4628870420931981E-2</v>
      </c>
    </row>
    <row r="296" spans="1:10" x14ac:dyDescent="0.3">
      <c r="A296" s="81">
        <v>1984</v>
      </c>
      <c r="B296" s="88">
        <v>15.327896124104599</v>
      </c>
      <c r="C296" s="53">
        <v>14.3529854379527</v>
      </c>
      <c r="D296" s="53">
        <v>34</v>
      </c>
      <c r="E296" s="86">
        <f t="shared" si="24"/>
        <v>0.34770728856539396</v>
      </c>
      <c r="F296" s="86">
        <f t="shared" si="21"/>
        <v>0.68</v>
      </c>
      <c r="G296" s="86">
        <f>_xlfn.LOGNORM.DIST(C296,Dataset!F$62,Dataset!F$63,TRUE)</f>
        <v>0.65326003873279204</v>
      </c>
      <c r="H296" s="86">
        <f t="shared" si="22"/>
        <v>2.6739961267208012E-2</v>
      </c>
      <c r="I296" s="87">
        <f>EXP(-EXP(-(C296-Dataset!F$59)/Dataset!F$58))</f>
        <v>0.69805530274626815</v>
      </c>
      <c r="J296" s="86">
        <f t="shared" si="23"/>
        <v>1.8055302746268098E-2</v>
      </c>
    </row>
    <row r="297" spans="1:10" x14ac:dyDescent="0.3">
      <c r="A297" s="81">
        <v>1985</v>
      </c>
      <c r="B297" s="88">
        <v>12.270052830879701</v>
      </c>
      <c r="C297" s="53">
        <v>14.3642977475584</v>
      </c>
      <c r="D297" s="53">
        <v>35</v>
      </c>
      <c r="E297" s="86">
        <f t="shared" si="24"/>
        <v>0.35559374454677134</v>
      </c>
      <c r="F297" s="86">
        <f t="shared" si="21"/>
        <v>0.7</v>
      </c>
      <c r="G297" s="86">
        <f>_xlfn.LOGNORM.DIST(C297,Dataset!F$62,Dataset!F$63,TRUE)</f>
        <v>0.65607213578196966</v>
      </c>
      <c r="H297" s="86">
        <f t="shared" si="22"/>
        <v>4.3927864218030299E-2</v>
      </c>
      <c r="I297" s="87">
        <f>EXP(-EXP(-(C297-Dataset!F$59)/Dataset!F$58))</f>
        <v>0.70058514093470836</v>
      </c>
      <c r="J297" s="86">
        <f t="shared" si="23"/>
        <v>5.8514093470840578E-4</v>
      </c>
    </row>
    <row r="298" spans="1:10" x14ac:dyDescent="0.3">
      <c r="A298" s="81">
        <v>1986</v>
      </c>
      <c r="B298" s="88">
        <v>14.0620570936939</v>
      </c>
      <c r="C298" s="53">
        <v>14.552966651395099</v>
      </c>
      <c r="D298" s="53">
        <v>36</v>
      </c>
      <c r="E298" s="86">
        <f t="shared" si="24"/>
        <v>0.4871255941005691</v>
      </c>
      <c r="F298" s="86">
        <f t="shared" si="21"/>
        <v>0.72</v>
      </c>
      <c r="G298" s="86">
        <f>_xlfn.LOGNORM.DIST(C298,Dataset!F$62,Dataset!F$63,TRUE)</f>
        <v>0.70129849179328341</v>
      </c>
      <c r="H298" s="86">
        <f t="shared" si="22"/>
        <v>1.8701508206716566E-2</v>
      </c>
      <c r="I298" s="87">
        <f>EXP(-EXP(-(C298-Dataset!F$59)/Dataset!F$58))</f>
        <v>0.7403739893119915</v>
      </c>
      <c r="J298" s="86">
        <f t="shared" si="23"/>
        <v>2.0373989311991525E-2</v>
      </c>
    </row>
    <row r="299" spans="1:10" x14ac:dyDescent="0.3">
      <c r="A299" s="81">
        <v>1987</v>
      </c>
      <c r="B299" s="88">
        <v>14.3642977475584</v>
      </c>
      <c r="C299" s="53">
        <v>14.832843735584801</v>
      </c>
      <c r="D299" s="53">
        <v>37</v>
      </c>
      <c r="E299" s="86">
        <f t="shared" si="24"/>
        <v>0.68224386628313449</v>
      </c>
      <c r="F299" s="86">
        <f t="shared" si="21"/>
        <v>0.74</v>
      </c>
      <c r="G299" s="86">
        <f>_xlfn.LOGNORM.DIST(C299,Dataset!F$62,Dataset!F$63,TRUE)</f>
        <v>0.76195854482196534</v>
      </c>
      <c r="H299" s="86">
        <f t="shared" si="22"/>
        <v>2.1958544821965353E-2</v>
      </c>
      <c r="I299" s="87">
        <f>EXP(-EXP(-(C299-Dataset!F$59)/Dataset!F$58))</f>
        <v>0.79132387488064349</v>
      </c>
      <c r="J299" s="86">
        <f t="shared" si="23"/>
        <v>5.1323874880643494E-2</v>
      </c>
    </row>
    <row r="300" spans="1:10" x14ac:dyDescent="0.3">
      <c r="A300" s="81">
        <v>1988</v>
      </c>
      <c r="B300" s="88">
        <v>15.7823567106279</v>
      </c>
      <c r="C300" s="53">
        <v>14.8361132517154</v>
      </c>
      <c r="D300" s="53">
        <v>38</v>
      </c>
      <c r="E300" s="86">
        <f t="shared" si="24"/>
        <v>0.68452323238458757</v>
      </c>
      <c r="F300" s="86">
        <f t="shared" si="21"/>
        <v>0.76</v>
      </c>
      <c r="G300" s="86">
        <f>_xlfn.LOGNORM.DIST(C300,Dataset!F$62,Dataset!F$63,TRUE)</f>
        <v>0.76261861518570817</v>
      </c>
      <c r="H300" s="86">
        <f t="shared" si="22"/>
        <v>2.6186151857081619E-3</v>
      </c>
      <c r="I300" s="87">
        <f>EXP(-EXP(-(C300-Dataset!F$59)/Dataset!F$58))</f>
        <v>0.79186471617233312</v>
      </c>
      <c r="J300" s="86">
        <f t="shared" si="23"/>
        <v>3.1864716172333107E-2</v>
      </c>
    </row>
    <row r="301" spans="1:10" x14ac:dyDescent="0.3">
      <c r="A301" s="81">
        <v>1989</v>
      </c>
      <c r="B301" s="88">
        <v>14.3529854379527</v>
      </c>
      <c r="C301" s="53">
        <v>15.025594182258001</v>
      </c>
      <c r="D301" s="53">
        <v>39</v>
      </c>
      <c r="E301" s="86">
        <f t="shared" si="24"/>
        <v>0.81662119205161687</v>
      </c>
      <c r="F301" s="86">
        <f t="shared" si="21"/>
        <v>0.78</v>
      </c>
      <c r="G301" s="86">
        <f>_xlfn.LOGNORM.DIST(C301,Dataset!F$62,Dataset!F$63,TRUE)</f>
        <v>0.79888722609868756</v>
      </c>
      <c r="H301" s="86">
        <f t="shared" si="22"/>
        <v>1.8887226098687537E-2</v>
      </c>
      <c r="I301" s="87">
        <f>EXP(-EXP(-(C301-Dataset!F$59)/Dataset!F$58))</f>
        <v>0.82119497061891111</v>
      </c>
      <c r="J301" s="86">
        <f t="shared" si="23"/>
        <v>4.1194970618911086E-2</v>
      </c>
    </row>
    <row r="302" spans="1:10" x14ac:dyDescent="0.3">
      <c r="A302" s="81">
        <v>1990</v>
      </c>
      <c r="B302" s="88">
        <v>14.552966651395099</v>
      </c>
      <c r="C302" s="53">
        <v>15.327896124104599</v>
      </c>
      <c r="D302" s="53">
        <v>40</v>
      </c>
      <c r="E302" s="86">
        <f t="shared" si="24"/>
        <v>1.027373111028173</v>
      </c>
      <c r="F302" s="86">
        <f t="shared" si="21"/>
        <v>0.8</v>
      </c>
      <c r="G302" s="86">
        <f>_xlfn.LOGNORM.DIST(C302,Dataset!F$62,Dataset!F$63,TRUE)</f>
        <v>0.84862648110472771</v>
      </c>
      <c r="H302" s="86">
        <f t="shared" si="22"/>
        <v>4.862648110472767E-2</v>
      </c>
      <c r="I302" s="87">
        <f>EXP(-EXP(-(C302-Dataset!F$59)/Dataset!F$58))</f>
        <v>0.86041897282440793</v>
      </c>
      <c r="J302" s="86">
        <f t="shared" si="23"/>
        <v>6.0418972824407891E-2</v>
      </c>
    </row>
    <row r="303" spans="1:10" x14ac:dyDescent="0.3">
      <c r="A303" s="81">
        <v>1991</v>
      </c>
      <c r="B303" s="88">
        <v>13.215736409969599</v>
      </c>
      <c r="C303" s="53">
        <v>15.359059650591</v>
      </c>
      <c r="D303" s="53">
        <v>41</v>
      </c>
      <c r="E303" s="86">
        <f t="shared" si="24"/>
        <v>1.049098982085986</v>
      </c>
      <c r="F303" s="86">
        <f t="shared" si="21"/>
        <v>0.82</v>
      </c>
      <c r="G303" s="86">
        <f>_xlfn.LOGNORM.DIST(C303,Dataset!F$62,Dataset!F$63,TRUE)</f>
        <v>0.85319379080360169</v>
      </c>
      <c r="H303" s="86">
        <f t="shared" si="22"/>
        <v>3.3193790803601742E-2</v>
      </c>
      <c r="I303" s="87">
        <f>EXP(-EXP(-(C303-Dataset!F$59)/Dataset!F$58))</f>
        <v>0.86398096747943109</v>
      </c>
      <c r="J303" s="86">
        <f t="shared" si="23"/>
        <v>4.3980967479431143E-2</v>
      </c>
    </row>
    <row r="304" spans="1:10" x14ac:dyDescent="0.3">
      <c r="A304" s="81">
        <v>1992</v>
      </c>
      <c r="B304" s="88">
        <v>13.2389032283922</v>
      </c>
      <c r="C304" s="53">
        <v>15.3961012104205</v>
      </c>
      <c r="D304" s="53">
        <v>42</v>
      </c>
      <c r="E304" s="86">
        <f t="shared" si="24"/>
        <v>1.0749227653149851</v>
      </c>
      <c r="F304" s="86">
        <f t="shared" si="21"/>
        <v>0.84</v>
      </c>
      <c r="G304" s="86">
        <f>_xlfn.LOGNORM.DIST(C304,Dataset!F$62,Dataset!F$63,TRUE)</f>
        <v>0.85848951548501751</v>
      </c>
      <c r="H304" s="86">
        <f t="shared" si="22"/>
        <v>1.8489515485017538E-2</v>
      </c>
      <c r="I304" s="87">
        <f>EXP(-EXP(-(C304-Dataset!F$59)/Dataset!F$58))</f>
        <v>0.86810602762473088</v>
      </c>
      <c r="J304" s="86">
        <f t="shared" si="23"/>
        <v>2.8106027624730912E-2</v>
      </c>
    </row>
    <row r="305" spans="1:10" x14ac:dyDescent="0.3">
      <c r="A305" s="81">
        <v>1993</v>
      </c>
      <c r="B305" s="88">
        <v>9.9390728644441495</v>
      </c>
      <c r="C305" s="53">
        <v>15.434792754438099</v>
      </c>
      <c r="D305" s="53">
        <v>43</v>
      </c>
      <c r="E305" s="86">
        <f t="shared" si="24"/>
        <v>1.1018968465930099</v>
      </c>
      <c r="F305" s="86">
        <f t="shared" si="21"/>
        <v>0.86</v>
      </c>
      <c r="G305" s="86">
        <f>_xlfn.LOGNORM.DIST(C305,Dataset!F$62,Dataset!F$63,TRUE)</f>
        <v>0.86386821876699893</v>
      </c>
      <c r="H305" s="86">
        <f t="shared" si="22"/>
        <v>3.8682187669989432E-3</v>
      </c>
      <c r="I305" s="87">
        <f>EXP(-EXP(-(C305-Dataset!F$59)/Dataset!F$58))</f>
        <v>0.87229138923431582</v>
      </c>
      <c r="J305" s="86">
        <f t="shared" si="23"/>
        <v>1.229138923431583E-2</v>
      </c>
    </row>
    <row r="306" spans="1:10" x14ac:dyDescent="0.3">
      <c r="A306" s="81">
        <v>1994</v>
      </c>
      <c r="B306" s="88">
        <v>14.294135735706099</v>
      </c>
      <c r="C306" s="53">
        <v>15.434946496004001</v>
      </c>
      <c r="D306" s="53">
        <v>44</v>
      </c>
      <c r="E306" s="86">
        <f t="shared" si="24"/>
        <v>1.1020040286039565</v>
      </c>
      <c r="F306" s="86">
        <f t="shared" si="21"/>
        <v>0.88</v>
      </c>
      <c r="G306" s="86">
        <f>_xlfn.LOGNORM.DIST(C306,Dataset!F$62,Dataset!F$63,TRUE)</f>
        <v>0.86388928166695078</v>
      </c>
      <c r="H306" s="86">
        <f t="shared" si="22"/>
        <v>1.6110718333049223E-2</v>
      </c>
      <c r="I306" s="87">
        <f>EXP(-EXP(-(C306-Dataset!F$59)/Dataset!F$58))</f>
        <v>0.87230777219136413</v>
      </c>
      <c r="J306" s="86">
        <f t="shared" si="23"/>
        <v>7.6922278086358764E-3</v>
      </c>
    </row>
    <row r="307" spans="1:10" x14ac:dyDescent="0.3">
      <c r="A307" s="81">
        <v>1995</v>
      </c>
      <c r="B307" s="88">
        <v>13.0377312507316</v>
      </c>
      <c r="C307" s="53">
        <v>15.768883592625301</v>
      </c>
      <c r="D307" s="53">
        <v>45</v>
      </c>
      <c r="E307" s="86">
        <f t="shared" si="24"/>
        <v>1.3348106176073158</v>
      </c>
      <c r="F307" s="86">
        <f t="shared" si="21"/>
        <v>0.9</v>
      </c>
      <c r="G307" s="86">
        <f>_xlfn.LOGNORM.DIST(C307,Dataset!F$62,Dataset!F$63,TRUE)</f>
        <v>0.90409607809456638</v>
      </c>
      <c r="H307" s="86">
        <f t="shared" si="22"/>
        <v>4.0960780945663577E-3</v>
      </c>
      <c r="I307" s="87">
        <f>EXP(-EXP(-(C307-Dataset!F$59)/Dataset!F$58))</f>
        <v>0.90361854644566775</v>
      </c>
      <c r="J307" s="86">
        <f t="shared" si="23"/>
        <v>3.6185464456677252E-3</v>
      </c>
    </row>
    <row r="308" spans="1:10" x14ac:dyDescent="0.3">
      <c r="A308" s="81">
        <v>1996</v>
      </c>
      <c r="B308" s="88">
        <v>12.8529731486414</v>
      </c>
      <c r="C308" s="53">
        <v>15.7823567106279</v>
      </c>
      <c r="D308" s="53">
        <v>46</v>
      </c>
      <c r="E308" s="86">
        <f t="shared" si="24"/>
        <v>1.3442034963175897</v>
      </c>
      <c r="F308" s="86">
        <f t="shared" si="21"/>
        <v>0.92</v>
      </c>
      <c r="G308" s="86">
        <f>_xlfn.LOGNORM.DIST(C308,Dataset!F$62,Dataset!F$63,TRUE)</f>
        <v>0.90549620642238571</v>
      </c>
      <c r="H308" s="86">
        <f t="shared" si="22"/>
        <v>1.4503793577614332E-2</v>
      </c>
      <c r="I308" s="87">
        <f>EXP(-EXP(-(C308-Dataset!F$59)/Dataset!F$58))</f>
        <v>0.90471586330521403</v>
      </c>
      <c r="J308" s="86">
        <f t="shared" si="23"/>
        <v>1.528413669478601E-2</v>
      </c>
    </row>
    <row r="309" spans="1:10" x14ac:dyDescent="0.3">
      <c r="A309" s="81">
        <v>1997</v>
      </c>
      <c r="B309" s="88">
        <v>15.837681653348501</v>
      </c>
      <c r="C309" s="53">
        <v>15.806346074271801</v>
      </c>
      <c r="D309" s="53">
        <v>47</v>
      </c>
      <c r="E309" s="86">
        <f t="shared" si="24"/>
        <v>1.3609278494332044</v>
      </c>
      <c r="F309" s="86">
        <f t="shared" si="21"/>
        <v>0.94</v>
      </c>
      <c r="G309" s="86">
        <f>_xlfn.LOGNORM.DIST(C309,Dataset!F$62,Dataset!F$63,TRUE)</f>
        <v>0.9079488960927502</v>
      </c>
      <c r="H309" s="86">
        <f t="shared" si="22"/>
        <v>3.2051103907249745E-2</v>
      </c>
      <c r="I309" s="87">
        <f>EXP(-EXP(-(C309-Dataset!F$59)/Dataset!F$58))</f>
        <v>0.90664045917565628</v>
      </c>
      <c r="J309" s="86">
        <f t="shared" si="23"/>
        <v>3.335954082434367E-2</v>
      </c>
    </row>
    <row r="310" spans="1:10" x14ac:dyDescent="0.3">
      <c r="A310" s="81">
        <v>1998</v>
      </c>
      <c r="B310" s="88">
        <v>13.151243674233701</v>
      </c>
      <c r="C310" s="53">
        <v>15.837681653348501</v>
      </c>
      <c r="D310" s="53">
        <v>48</v>
      </c>
      <c r="E310" s="86">
        <f t="shared" si="24"/>
        <v>1.3827736681610487</v>
      </c>
      <c r="F310" s="86">
        <f t="shared" si="21"/>
        <v>0.96</v>
      </c>
      <c r="G310" s="86">
        <f>_xlfn.LOGNORM.DIST(C310,Dataset!F$62,Dataset!F$63,TRUE)</f>
        <v>0.91107584977181932</v>
      </c>
      <c r="H310" s="86">
        <f t="shared" si="22"/>
        <v>4.8924150228180641E-2</v>
      </c>
      <c r="I310" s="87">
        <f>EXP(-EXP(-(C310-Dataset!F$59)/Dataset!F$58))</f>
        <v>0.90909896853631722</v>
      </c>
      <c r="J310" s="86">
        <f t="shared" si="23"/>
        <v>5.0901031463682744E-2</v>
      </c>
    </row>
    <row r="311" spans="1:10" x14ac:dyDescent="0.3">
      <c r="A311" s="81">
        <v>1999</v>
      </c>
      <c r="B311" s="88">
        <v>13.045699995403499</v>
      </c>
      <c r="C311" s="53">
        <v>16.6477308529821</v>
      </c>
      <c r="D311" s="53">
        <v>49</v>
      </c>
      <c r="E311" s="86">
        <f t="shared" si="24"/>
        <v>1.947505149028727</v>
      </c>
      <c r="F311" s="86">
        <f t="shared" si="21"/>
        <v>0.98</v>
      </c>
      <c r="G311" s="86">
        <f>_xlfn.LOGNORM.DIST(C311,Dataset!F$62,Dataset!F$63,TRUE)</f>
        <v>0.96641128480774685</v>
      </c>
      <c r="H311" s="86">
        <f t="shared" si="22"/>
        <v>1.3588715192253131E-2</v>
      </c>
      <c r="I311" s="87">
        <f>EXP(-EXP(-(C311-Dataset!F$59)/Dataset!F$58))</f>
        <v>0.95486186671028717</v>
      </c>
      <c r="J311" s="86">
        <f t="shared" si="23"/>
        <v>2.5138133289712816E-2</v>
      </c>
    </row>
    <row r="312" spans="1:10" x14ac:dyDescent="0.3">
      <c r="A312" s="81">
        <v>2000</v>
      </c>
      <c r="B312" s="88">
        <v>12.4455746496297</v>
      </c>
      <c r="C312" s="53">
        <v>17.121310103692601</v>
      </c>
      <c r="D312" s="53">
        <v>50</v>
      </c>
      <c r="E312" s="86">
        <f t="shared" si="24"/>
        <v>2.2776642451464895</v>
      </c>
      <c r="F312" s="86">
        <f t="shared" si="21"/>
        <v>1</v>
      </c>
      <c r="G312" s="86">
        <f>_xlfn.LOGNORM.DIST(C312,Dataset!F$62,Dataset!F$63,TRUE)</f>
        <v>0.9822291297311444</v>
      </c>
      <c r="H312" s="86">
        <f t="shared" si="22"/>
        <v>1.7770870268855599E-2</v>
      </c>
      <c r="I312" s="87">
        <f>EXP(-EXP(-(C312-Dataset!F$59)/Dataset!F$58))</f>
        <v>0.9702093304682462</v>
      </c>
      <c r="J312" s="86">
        <f t="shared" si="23"/>
        <v>2.97906695317538E-2</v>
      </c>
    </row>
    <row r="314" spans="1:10" x14ac:dyDescent="0.3">
      <c r="A314" s="81" t="s">
        <v>12</v>
      </c>
      <c r="B314" s="53">
        <f>AVERAGE(C263:C312)</f>
        <v>13.85423511084784</v>
      </c>
      <c r="C314" s="80" t="s">
        <v>14</v>
      </c>
      <c r="D314" s="53">
        <v>50</v>
      </c>
      <c r="G314" s="22" t="s">
        <v>25</v>
      </c>
      <c r="H314" s="22">
        <f>MAX(H263:H312)</f>
        <v>7.749034453689968E-2</v>
      </c>
      <c r="I314" s="22" t="s">
        <v>25</v>
      </c>
      <c r="J314" s="22">
        <f>MAX(J263:J312)</f>
        <v>8.3982043052152427E-2</v>
      </c>
    </row>
    <row r="315" spans="1:10" x14ac:dyDescent="0.3">
      <c r="A315" s="81" t="s">
        <v>13</v>
      </c>
      <c r="B315" s="53">
        <f>_xlfn.STDEV.S(C263:C312)</f>
        <v>1.4343971021218871</v>
      </c>
      <c r="C315" s="80" t="s">
        <v>15</v>
      </c>
      <c r="D315" s="53">
        <v>50</v>
      </c>
      <c r="G315" s="22" t="s">
        <v>23</v>
      </c>
      <c r="H315" s="22">
        <v>0.05</v>
      </c>
      <c r="I315" s="22" t="s">
        <v>23</v>
      </c>
      <c r="J315" s="22">
        <v>0.05</v>
      </c>
    </row>
    <row r="316" spans="1:10" x14ac:dyDescent="0.3">
      <c r="G316" s="22" t="s">
        <v>26</v>
      </c>
      <c r="H316" s="22">
        <v>0.19</v>
      </c>
      <c r="I316" s="22" t="s">
        <v>26</v>
      </c>
      <c r="J316" s="22">
        <v>0.19</v>
      </c>
    </row>
    <row r="317" spans="1:10" x14ac:dyDescent="0.3">
      <c r="G317" s="148" t="s">
        <v>32</v>
      </c>
      <c r="H317" s="148"/>
      <c r="I317" s="148"/>
      <c r="J317" s="148"/>
    </row>
    <row r="318" spans="1:10" x14ac:dyDescent="0.3">
      <c r="A318" s="141" t="s">
        <v>28</v>
      </c>
      <c r="B318" s="141"/>
      <c r="C318" s="141"/>
      <c r="D318" s="141"/>
      <c r="E318" s="141"/>
      <c r="F318" s="141"/>
      <c r="G318" s="141"/>
    </row>
    <row r="319" spans="1:10" x14ac:dyDescent="0.3">
      <c r="A319" s="145" t="s">
        <v>36</v>
      </c>
      <c r="B319" s="146"/>
      <c r="C319" s="147"/>
      <c r="E319" s="142" t="s">
        <v>37</v>
      </c>
      <c r="F319" s="143"/>
      <c r="G319" s="144"/>
    </row>
    <row r="320" spans="1:10" x14ac:dyDescent="0.3">
      <c r="A320" s="89" t="s">
        <v>29</v>
      </c>
      <c r="B320" s="11"/>
      <c r="C320" s="12" cm="1">
        <f t="array" ref="C320">-(SUM(LN(B263:B312)))-((50/2)*LN(Dataset!F$63^2))-((50/2)*LN(2*PI()))-((1/(2*Dataset!F$63^2))*SUM((LN(B263:B312)-Dataset!F$62)^2))</f>
        <v>-89.53135132079052</v>
      </c>
      <c r="E320" s="10" t="s">
        <v>29</v>
      </c>
      <c r="F320" s="11"/>
      <c r="G320" s="12" cm="1">
        <f t="array" ref="G320">-50*LN(Dataset!F$58) + 50*Dataset!F$59/Dataset!F$58 - SUM((B263:B312)/Dataset!F$58) -(EXP(Dataset!F$59/Dataset!F$58)*SUM(EXP(-(B263:B312)/Dataset!F$58)))</f>
        <v>-104.05401682685634</v>
      </c>
    </row>
    <row r="321" spans="1:34" x14ac:dyDescent="0.3">
      <c r="A321" s="33"/>
      <c r="B321" s="11"/>
      <c r="C321" s="12"/>
      <c r="E321" s="10"/>
      <c r="F321" s="11"/>
      <c r="G321" s="12"/>
    </row>
    <row r="322" spans="1:34" x14ac:dyDescent="0.3">
      <c r="A322" s="33" t="s">
        <v>30</v>
      </c>
      <c r="B322" s="11"/>
      <c r="C322" s="12">
        <f>-2*C320+2*2</f>
        <v>183.06270264158104</v>
      </c>
      <c r="E322" s="10" t="s">
        <v>30</v>
      </c>
      <c r="F322" s="11"/>
      <c r="G322" s="12">
        <f>-2*G320+2*2</f>
        <v>212.10803365371268</v>
      </c>
    </row>
    <row r="323" spans="1:34" x14ac:dyDescent="0.3">
      <c r="A323" s="34" t="s">
        <v>31</v>
      </c>
      <c r="B323" s="14"/>
      <c r="C323" s="15">
        <f>-2*C320+2*LN(50)</f>
        <v>186.88674865243732</v>
      </c>
      <c r="E323" s="13" t="s">
        <v>31</v>
      </c>
      <c r="F323" s="14"/>
      <c r="G323" s="15">
        <f>-2*G320+2*LN(50)</f>
        <v>215.93207966456896</v>
      </c>
    </row>
    <row r="324" spans="1:34" x14ac:dyDescent="0.3">
      <c r="A324" s="2" t="s">
        <v>48</v>
      </c>
    </row>
    <row r="325" spans="1:34" x14ac:dyDescent="0.3">
      <c r="I325" s="21"/>
      <c r="J325" s="21"/>
      <c r="K325" s="21"/>
      <c r="L325" s="21"/>
    </row>
    <row r="326" spans="1:34" x14ac:dyDescent="0.3">
      <c r="A326" s="136" t="s">
        <v>43</v>
      </c>
      <c r="B326" s="136"/>
      <c r="C326" s="136"/>
      <c r="D326" s="136"/>
      <c r="E326" s="136"/>
      <c r="F326" s="136"/>
      <c r="G326" s="136"/>
      <c r="H326" s="136"/>
      <c r="I326" s="136"/>
      <c r="J326" s="136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</row>
    <row r="327" spans="1:34" ht="57.6" x14ac:dyDescent="0.3">
      <c r="A327" s="81" t="s">
        <v>49</v>
      </c>
      <c r="B327" s="80" t="s">
        <v>27</v>
      </c>
      <c r="C327" s="80" t="s">
        <v>11</v>
      </c>
      <c r="D327" s="82" t="s">
        <v>16</v>
      </c>
      <c r="E327" s="83" t="s">
        <v>17</v>
      </c>
      <c r="F327" s="83" t="s">
        <v>18</v>
      </c>
      <c r="G327" s="82" t="s">
        <v>19</v>
      </c>
      <c r="H327" s="82" t="s">
        <v>20</v>
      </c>
      <c r="I327" s="82" t="s">
        <v>21</v>
      </c>
      <c r="J327" s="82" t="s">
        <v>22</v>
      </c>
    </row>
    <row r="328" spans="1:34" x14ac:dyDescent="0.3">
      <c r="A328" s="81">
        <v>1951</v>
      </c>
      <c r="B328" s="88" cm="1">
        <f t="array" ref="B328:B377">Dataset!G$2:G$51</f>
        <v>19.3361655430237</v>
      </c>
      <c r="C328" s="53">
        <v>15.529038625388599</v>
      </c>
      <c r="D328" s="53">
        <v>1</v>
      </c>
      <c r="E328" s="86">
        <f t="shared" ref="E328:E359" si="25">(C328-B$379)/B$380</f>
        <v>-2.2771670109302682</v>
      </c>
      <c r="F328" s="86">
        <f>D328/50</f>
        <v>0.02</v>
      </c>
      <c r="G328" s="86">
        <f>_xlfn.LOGNORM.DIST(C328,Dataset!G$62,Dataset!G$63,TRUE)</f>
        <v>5.7354985357073235E-3</v>
      </c>
      <c r="H328" s="86">
        <f>ABS(G328-F328)</f>
        <v>1.4264501464292676E-2</v>
      </c>
      <c r="I328" s="87">
        <f>EXP(-EXP(-(C328-Dataset!G$59)/Dataset!G$58))</f>
        <v>2.991962575264402E-5</v>
      </c>
      <c r="J328" s="86">
        <f>ABS(I328-F328)</f>
        <v>1.9970080374247356E-2</v>
      </c>
    </row>
    <row r="329" spans="1:34" x14ac:dyDescent="0.3">
      <c r="A329" s="81">
        <v>1952</v>
      </c>
      <c r="B329" s="88">
        <v>17.7043955787451</v>
      </c>
      <c r="C329" s="53">
        <v>16.316507302057101</v>
      </c>
      <c r="D329" s="53">
        <v>2</v>
      </c>
      <c r="E329" s="86">
        <f t="shared" si="25"/>
        <v>-1.8651543277823361</v>
      </c>
      <c r="F329" s="86">
        <f t="shared" ref="F329:F377" si="26">D329/50</f>
        <v>0.04</v>
      </c>
      <c r="G329" s="86">
        <f>_xlfn.LOGNORM.DIST(C329,Dataset!G$62,Dataset!G$63,TRUE)</f>
        <v>2.209521965628277E-2</v>
      </c>
      <c r="H329" s="86">
        <f t="shared" ref="H329:H377" si="27">ABS(G329-F329)</f>
        <v>1.790478034371723E-2</v>
      </c>
      <c r="I329" s="87">
        <f>EXP(-EXP(-(C329-Dataset!G$59)/Dataset!G$58))</f>
        <v>2.152588499402201E-3</v>
      </c>
      <c r="J329" s="86">
        <f t="shared" ref="J329:J377" si="28">ABS(I329-F329)</f>
        <v>3.7847411500597797E-2</v>
      </c>
    </row>
    <row r="330" spans="1:34" x14ac:dyDescent="0.3">
      <c r="A330" s="81">
        <v>1953</v>
      </c>
      <c r="B330" s="88">
        <v>18.9473560144</v>
      </c>
      <c r="C330" s="53">
        <v>17.2694554239288</v>
      </c>
      <c r="D330" s="53">
        <v>3</v>
      </c>
      <c r="E330" s="86">
        <f t="shared" si="25"/>
        <v>-1.3665608926069779</v>
      </c>
      <c r="F330" s="86">
        <f t="shared" si="26"/>
        <v>0.06</v>
      </c>
      <c r="G330" s="86">
        <f>_xlfn.LOGNORM.DIST(C330,Dataset!G$62,Dataset!G$63,TRUE)</f>
        <v>7.7735056346591863E-2</v>
      </c>
      <c r="H330" s="86">
        <f t="shared" si="27"/>
        <v>1.7735056346591865E-2</v>
      </c>
      <c r="I330" s="87">
        <f>EXP(-EXP(-(C330-Dataset!G$59)/Dataset!G$58))</f>
        <v>3.9170971421544999E-2</v>
      </c>
      <c r="J330" s="86">
        <f t="shared" si="28"/>
        <v>2.0829028578454999E-2</v>
      </c>
    </row>
    <row r="331" spans="1:34" x14ac:dyDescent="0.3">
      <c r="A331" s="81">
        <v>1954</v>
      </c>
      <c r="B331" s="88">
        <v>16.316507302057101</v>
      </c>
      <c r="C331" s="53">
        <v>17.322742202275201</v>
      </c>
      <c r="D331" s="53">
        <v>4</v>
      </c>
      <c r="E331" s="86">
        <f t="shared" si="25"/>
        <v>-1.3386806363208579</v>
      </c>
      <c r="F331" s="86">
        <f t="shared" si="26"/>
        <v>0.08</v>
      </c>
      <c r="G331" s="86">
        <f>_xlfn.LOGNORM.DIST(C331,Dataset!G$62,Dataset!G$63,TRUE)</f>
        <v>8.251504326267925E-2</v>
      </c>
      <c r="H331" s="86">
        <f t="shared" si="27"/>
        <v>2.5150432626792479E-3</v>
      </c>
      <c r="I331" s="87">
        <f>EXP(-EXP(-(C331-Dataset!G$59)/Dataset!G$58))</f>
        <v>4.389236008007099E-2</v>
      </c>
      <c r="J331" s="86">
        <f t="shared" si="28"/>
        <v>3.6107639919929012E-2</v>
      </c>
    </row>
    <row r="332" spans="1:34" x14ac:dyDescent="0.3">
      <c r="A332" s="81">
        <v>1955</v>
      </c>
      <c r="B332" s="88">
        <v>18.166188969036298</v>
      </c>
      <c r="C332" s="53">
        <v>17.693375911609898</v>
      </c>
      <c r="D332" s="53">
        <v>5</v>
      </c>
      <c r="E332" s="86">
        <f t="shared" si="25"/>
        <v>-1.1447608099550612</v>
      </c>
      <c r="F332" s="86">
        <f t="shared" si="26"/>
        <v>0.1</v>
      </c>
      <c r="G332" s="86">
        <f>_xlfn.LOGNORM.DIST(C332,Dataset!G$62,Dataset!G$63,TRUE)</f>
        <v>0.12147812750678479</v>
      </c>
      <c r="H332" s="86">
        <f t="shared" si="27"/>
        <v>2.147812750678478E-2</v>
      </c>
      <c r="I332" s="87">
        <f>EXP(-EXP(-(C332-Dataset!G$59)/Dataset!G$58))</f>
        <v>8.7364270583391496E-2</v>
      </c>
      <c r="J332" s="86">
        <f t="shared" si="28"/>
        <v>1.263572941660851E-2</v>
      </c>
    </row>
    <row r="333" spans="1:34" x14ac:dyDescent="0.3">
      <c r="A333" s="81">
        <v>1956</v>
      </c>
      <c r="B333" s="88">
        <v>21.9238231385219</v>
      </c>
      <c r="C333" s="53">
        <v>17.7043955787451</v>
      </c>
      <c r="D333" s="53">
        <v>6</v>
      </c>
      <c r="E333" s="86">
        <f t="shared" si="25"/>
        <v>-1.1389951931650963</v>
      </c>
      <c r="F333" s="86">
        <f t="shared" si="26"/>
        <v>0.12</v>
      </c>
      <c r="G333" s="86">
        <f>_xlfn.LOGNORM.DIST(C333,Dataset!G$62,Dataset!G$63,TRUE)</f>
        <v>0.12279289566494453</v>
      </c>
      <c r="H333" s="86">
        <f t="shared" si="27"/>
        <v>2.7928956649445336E-3</v>
      </c>
      <c r="I333" s="87">
        <f>EXP(-EXP(-(C333-Dataset!G$59)/Dataset!G$58))</f>
        <v>8.8947479571294938E-2</v>
      </c>
      <c r="J333" s="86">
        <f t="shared" si="28"/>
        <v>3.1052520428705058E-2</v>
      </c>
    </row>
    <row r="334" spans="1:34" x14ac:dyDescent="0.3">
      <c r="A334" s="81">
        <v>1957</v>
      </c>
      <c r="B334" s="88">
        <v>21.5524155010099</v>
      </c>
      <c r="C334" s="53">
        <v>17.709953416024</v>
      </c>
      <c r="D334" s="53">
        <v>7</v>
      </c>
      <c r="E334" s="86">
        <f t="shared" si="25"/>
        <v>-1.1360872686753669</v>
      </c>
      <c r="F334" s="86">
        <f t="shared" si="26"/>
        <v>0.14000000000000001</v>
      </c>
      <c r="G334" s="86">
        <f>_xlfn.LOGNORM.DIST(C334,Dataset!G$62,Dataset!G$63,TRUE)</f>
        <v>0.12345946687242565</v>
      </c>
      <c r="H334" s="86">
        <f t="shared" si="27"/>
        <v>1.6540533127574364E-2</v>
      </c>
      <c r="I334" s="87">
        <f>EXP(-EXP(-(C334-Dataset!G$59)/Dataset!G$58))</f>
        <v>8.9752321812539518E-2</v>
      </c>
      <c r="J334" s="86">
        <f t="shared" si="28"/>
        <v>5.0247678187460496E-2</v>
      </c>
      <c r="S334" s="1"/>
    </row>
    <row r="335" spans="1:34" x14ac:dyDescent="0.3">
      <c r="A335" s="81">
        <v>1958</v>
      </c>
      <c r="B335" s="88">
        <v>19.183752147012001</v>
      </c>
      <c r="C335" s="53">
        <v>17.7952289891298</v>
      </c>
      <c r="D335" s="53">
        <v>8</v>
      </c>
      <c r="E335" s="86">
        <f t="shared" si="25"/>
        <v>-1.0914701064652577</v>
      </c>
      <c r="F335" s="86">
        <f t="shared" si="26"/>
        <v>0.16</v>
      </c>
      <c r="G335" s="86">
        <f>_xlfn.LOGNORM.DIST(C335,Dataset!G$62,Dataset!G$63,TRUE)</f>
        <v>0.13397777330536167</v>
      </c>
      <c r="H335" s="86">
        <f t="shared" si="27"/>
        <v>2.6022226694638328E-2</v>
      </c>
      <c r="I335" s="87">
        <f>EXP(-EXP(-(C335-Dataset!G$59)/Dataset!G$58))</f>
        <v>0.10263028618830537</v>
      </c>
      <c r="J335" s="86">
        <f t="shared" si="28"/>
        <v>5.7369713811694631E-2</v>
      </c>
    </row>
    <row r="336" spans="1:34" x14ac:dyDescent="0.3">
      <c r="A336" s="81">
        <v>1959</v>
      </c>
      <c r="B336" s="88">
        <v>22.9698279888588</v>
      </c>
      <c r="C336" s="53">
        <v>17.9416220088955</v>
      </c>
      <c r="D336" s="53">
        <v>9</v>
      </c>
      <c r="E336" s="86">
        <f t="shared" si="25"/>
        <v>-1.014875592099342</v>
      </c>
      <c r="F336" s="86">
        <f t="shared" si="26"/>
        <v>0.18</v>
      </c>
      <c r="G336" s="86">
        <f>_xlfn.LOGNORM.DIST(C336,Dataset!G$62,Dataset!G$63,TRUE)</f>
        <v>0.15330452555206878</v>
      </c>
      <c r="H336" s="86">
        <f t="shared" si="27"/>
        <v>2.6695474447931217E-2</v>
      </c>
      <c r="I336" s="87">
        <f>EXP(-EXP(-(C336-Dataset!G$59)/Dataset!G$58))</f>
        <v>0.12699528596935353</v>
      </c>
      <c r="J336" s="86">
        <f t="shared" si="28"/>
        <v>5.3004714030646466E-2</v>
      </c>
    </row>
    <row r="337" spans="1:10" x14ac:dyDescent="0.3">
      <c r="A337" s="81">
        <v>1960</v>
      </c>
      <c r="B337" s="88">
        <v>22.1417648801214</v>
      </c>
      <c r="C337" s="53">
        <v>18.065851635022099</v>
      </c>
      <c r="D337" s="53">
        <v>10</v>
      </c>
      <c r="E337" s="86">
        <f t="shared" si="25"/>
        <v>-0.9498772206042031</v>
      </c>
      <c r="F337" s="86">
        <f t="shared" si="26"/>
        <v>0.2</v>
      </c>
      <c r="G337" s="86">
        <f>_xlfn.LOGNORM.DIST(C337,Dataset!G$62,Dataset!G$63,TRUE)</f>
        <v>0.17094931525112825</v>
      </c>
      <c r="H337" s="86">
        <f t="shared" si="27"/>
        <v>2.9050684748871763E-2</v>
      </c>
      <c r="I337" s="87">
        <f>EXP(-EXP(-(C337-Dataset!G$59)/Dataset!G$58))</f>
        <v>0.1497859790941295</v>
      </c>
      <c r="J337" s="86">
        <f t="shared" si="28"/>
        <v>5.0214020905870516E-2</v>
      </c>
    </row>
    <row r="338" spans="1:10" x14ac:dyDescent="0.3">
      <c r="A338" s="81">
        <v>1961</v>
      </c>
      <c r="B338" s="88">
        <v>21.411016838242301</v>
      </c>
      <c r="C338" s="53">
        <v>18.166188969036298</v>
      </c>
      <c r="D338" s="53">
        <v>11</v>
      </c>
      <c r="E338" s="86">
        <f t="shared" si="25"/>
        <v>-0.89737957157770942</v>
      </c>
      <c r="F338" s="86">
        <f t="shared" si="26"/>
        <v>0.22</v>
      </c>
      <c r="G338" s="86">
        <f>_xlfn.LOGNORM.DIST(C338,Dataset!G$62,Dataset!G$63,TRUE)</f>
        <v>0.1860157964287581</v>
      </c>
      <c r="H338" s="86">
        <f t="shared" si="27"/>
        <v>3.3984203571241905E-2</v>
      </c>
      <c r="I338" s="87">
        <f>EXP(-EXP(-(C338-Dataset!G$59)/Dataset!G$58))</f>
        <v>0.16949648778257048</v>
      </c>
      <c r="J338" s="86">
        <f t="shared" si="28"/>
        <v>5.0503512217429519E-2</v>
      </c>
    </row>
    <row r="339" spans="1:10" x14ac:dyDescent="0.3">
      <c r="A339" s="81">
        <v>1962</v>
      </c>
      <c r="B339" s="88">
        <v>17.709953416024</v>
      </c>
      <c r="C339" s="53">
        <v>18.459989820932599</v>
      </c>
      <c r="D339" s="53">
        <v>12</v>
      </c>
      <c r="E339" s="86">
        <f t="shared" si="25"/>
        <v>-0.74365958132608345</v>
      </c>
      <c r="F339" s="86">
        <f t="shared" si="26"/>
        <v>0.24</v>
      </c>
      <c r="G339" s="86">
        <f>_xlfn.LOGNORM.DIST(C339,Dataset!G$62,Dataset!G$63,TRUE)</f>
        <v>0.2341025841694252</v>
      </c>
      <c r="H339" s="86">
        <f t="shared" si="27"/>
        <v>5.8974158305747926E-3</v>
      </c>
      <c r="I339" s="87">
        <f>EXP(-EXP(-(C339-Dataset!G$59)/Dataset!G$58))</f>
        <v>0.23285934929850163</v>
      </c>
      <c r="J339" s="86">
        <f t="shared" si="28"/>
        <v>7.1406507014983578E-3</v>
      </c>
    </row>
    <row r="340" spans="1:10" x14ac:dyDescent="0.3">
      <c r="A340" s="81">
        <v>1963</v>
      </c>
      <c r="B340" s="88">
        <v>17.322742202275201</v>
      </c>
      <c r="C340" s="53">
        <v>18.504105866481101</v>
      </c>
      <c r="D340" s="53">
        <v>13</v>
      </c>
      <c r="E340" s="86">
        <f t="shared" si="25"/>
        <v>-0.72057755808521928</v>
      </c>
      <c r="F340" s="86">
        <f t="shared" si="26"/>
        <v>0.26</v>
      </c>
      <c r="G340" s="86">
        <f>_xlfn.LOGNORM.DIST(C340,Dataset!G$62,Dataset!G$63,TRUE)</f>
        <v>0.24180266381546356</v>
      </c>
      <c r="H340" s="86">
        <f t="shared" si="27"/>
        <v>1.819733618453645E-2</v>
      </c>
      <c r="I340" s="87">
        <f>EXP(-EXP(-(C340-Dataset!G$59)/Dataset!G$58))</f>
        <v>0.24297180815470762</v>
      </c>
      <c r="J340" s="86">
        <f t="shared" si="28"/>
        <v>1.702819184529239E-2</v>
      </c>
    </row>
    <row r="341" spans="1:10" x14ac:dyDescent="0.3">
      <c r="A341" s="81">
        <v>1964</v>
      </c>
      <c r="B341" s="88">
        <v>20.107972011905801</v>
      </c>
      <c r="C341" s="53">
        <v>18.643802308728599</v>
      </c>
      <c r="D341" s="53">
        <v>14</v>
      </c>
      <c r="E341" s="86">
        <f t="shared" si="25"/>
        <v>-0.64748677022034362</v>
      </c>
      <c r="F341" s="86">
        <f t="shared" si="26"/>
        <v>0.28000000000000003</v>
      </c>
      <c r="G341" s="86">
        <f>_xlfn.LOGNORM.DIST(C341,Dataset!G$62,Dataset!G$63,TRUE)</f>
        <v>0.26693820175221972</v>
      </c>
      <c r="H341" s="86">
        <f t="shared" si="27"/>
        <v>1.306179824778031E-2</v>
      </c>
      <c r="I341" s="87">
        <f>EXP(-EXP(-(C341-Dataset!G$59)/Dataset!G$58))</f>
        <v>0.27576501337579495</v>
      </c>
      <c r="J341" s="86">
        <f t="shared" si="28"/>
        <v>4.2349866242050727E-3</v>
      </c>
    </row>
    <row r="342" spans="1:10" x14ac:dyDescent="0.3">
      <c r="A342" s="81">
        <v>1965</v>
      </c>
      <c r="B342" s="88">
        <v>17.7952289891298</v>
      </c>
      <c r="C342" s="53">
        <v>18.764957632900298</v>
      </c>
      <c r="D342" s="53">
        <v>15</v>
      </c>
      <c r="E342" s="86">
        <f t="shared" si="25"/>
        <v>-0.58409690892348221</v>
      </c>
      <c r="F342" s="86">
        <f t="shared" si="26"/>
        <v>0.3</v>
      </c>
      <c r="G342" s="86">
        <f>_xlfn.LOGNORM.DIST(C342,Dataset!G$62,Dataset!G$63,TRUE)</f>
        <v>0.28959594920111831</v>
      </c>
      <c r="H342" s="86">
        <f t="shared" si="27"/>
        <v>1.0404050798881681E-2</v>
      </c>
      <c r="I342" s="87">
        <f>EXP(-EXP(-(C342-Dataset!G$59)/Dataset!G$58))</f>
        <v>0.30494722312243783</v>
      </c>
      <c r="J342" s="86">
        <f t="shared" si="28"/>
        <v>4.9472231224378382E-3</v>
      </c>
    </row>
    <row r="343" spans="1:10" x14ac:dyDescent="0.3">
      <c r="A343" s="81">
        <v>1966</v>
      </c>
      <c r="B343" s="88">
        <v>22.951601277360201</v>
      </c>
      <c r="C343" s="53">
        <v>18.9473560144</v>
      </c>
      <c r="D343" s="53">
        <v>16</v>
      </c>
      <c r="E343" s="86">
        <f t="shared" si="25"/>
        <v>-0.48866397452224725</v>
      </c>
      <c r="F343" s="86">
        <f t="shared" si="26"/>
        <v>0.32</v>
      </c>
      <c r="G343" s="86">
        <f>_xlfn.LOGNORM.DIST(C343,Dataset!G$62,Dataset!G$63,TRUE)</f>
        <v>0.3250182705645448</v>
      </c>
      <c r="H343" s="86">
        <f t="shared" si="27"/>
        <v>5.0182705645447911E-3</v>
      </c>
      <c r="I343" s="87">
        <f>EXP(-EXP(-(C343-Dataset!G$59)/Dataset!G$58))</f>
        <v>0.34965913100660778</v>
      </c>
      <c r="J343" s="86">
        <f t="shared" si="28"/>
        <v>2.9659131006607775E-2</v>
      </c>
    </row>
    <row r="344" spans="1:10" x14ac:dyDescent="0.3">
      <c r="A344" s="81">
        <v>1967</v>
      </c>
      <c r="B344" s="88">
        <v>20.170434504087499</v>
      </c>
      <c r="C344" s="53">
        <v>19.113241162285</v>
      </c>
      <c r="D344" s="53">
        <v>17</v>
      </c>
      <c r="E344" s="86">
        <f t="shared" si="25"/>
        <v>-0.40187095417807173</v>
      </c>
      <c r="F344" s="86">
        <f t="shared" si="26"/>
        <v>0.34</v>
      </c>
      <c r="G344" s="86">
        <f>_xlfn.LOGNORM.DIST(C344,Dataset!G$62,Dataset!G$63,TRUE)</f>
        <v>0.35836685703070437</v>
      </c>
      <c r="H344" s="86">
        <f t="shared" si="27"/>
        <v>1.8366857030704342E-2</v>
      </c>
      <c r="I344" s="87">
        <f>EXP(-EXP(-(C344-Dataset!G$59)/Dataset!G$58))</f>
        <v>0.39058918578857871</v>
      </c>
      <c r="J344" s="86">
        <f t="shared" si="28"/>
        <v>5.0589185788578683E-2</v>
      </c>
    </row>
    <row r="345" spans="1:10" x14ac:dyDescent="0.3">
      <c r="A345" s="81">
        <v>1968</v>
      </c>
      <c r="B345" s="88">
        <v>18.504105866481101</v>
      </c>
      <c r="C345" s="53">
        <v>19.183752147012001</v>
      </c>
      <c r="D345" s="53">
        <v>18</v>
      </c>
      <c r="E345" s="86">
        <f t="shared" si="25"/>
        <v>-0.36497879469348032</v>
      </c>
      <c r="F345" s="86">
        <f t="shared" si="26"/>
        <v>0.36</v>
      </c>
      <c r="G345" s="86">
        <f>_xlfn.LOGNORM.DIST(C345,Dataset!G$62,Dataset!G$63,TRUE)</f>
        <v>0.37280429250882724</v>
      </c>
      <c r="H345" s="86">
        <f t="shared" si="27"/>
        <v>1.2804292508827253E-2</v>
      </c>
      <c r="I345" s="87">
        <f>EXP(-EXP(-(C345-Dataset!G$59)/Dataset!G$58))</f>
        <v>0.40793301745031657</v>
      </c>
      <c r="J345" s="86">
        <f t="shared" si="28"/>
        <v>4.7933017450316584E-2</v>
      </c>
    </row>
    <row r="346" spans="1:10" x14ac:dyDescent="0.3">
      <c r="A346" s="81">
        <v>1969</v>
      </c>
      <c r="B346" s="88">
        <v>20.024721277663499</v>
      </c>
      <c r="C346" s="53">
        <v>19.200047478874598</v>
      </c>
      <c r="D346" s="53">
        <v>19</v>
      </c>
      <c r="E346" s="86">
        <f t="shared" si="25"/>
        <v>-0.35645288934331609</v>
      </c>
      <c r="F346" s="86">
        <f t="shared" si="26"/>
        <v>0.38</v>
      </c>
      <c r="G346" s="86">
        <f>_xlfn.LOGNORM.DIST(C346,Dataset!G$62,Dataset!G$63,TRUE)</f>
        <v>0.37615965280741237</v>
      </c>
      <c r="H346" s="86">
        <f t="shared" si="27"/>
        <v>3.8403471925876342E-3</v>
      </c>
      <c r="I346" s="87">
        <f>EXP(-EXP(-(C346-Dataset!G$59)/Dataset!G$58))</f>
        <v>0.41193046949043849</v>
      </c>
      <c r="J346" s="86">
        <f t="shared" si="28"/>
        <v>3.1930469490438484E-2</v>
      </c>
    </row>
    <row r="347" spans="1:10" x14ac:dyDescent="0.3">
      <c r="A347" s="81">
        <v>1970</v>
      </c>
      <c r="B347" s="88">
        <v>18.643802308728599</v>
      </c>
      <c r="C347" s="53">
        <v>19.3361655430237</v>
      </c>
      <c r="D347" s="53">
        <v>20</v>
      </c>
      <c r="E347" s="86">
        <f t="shared" si="25"/>
        <v>-0.28523435012187276</v>
      </c>
      <c r="F347" s="86">
        <f t="shared" si="26"/>
        <v>0.4</v>
      </c>
      <c r="G347" s="86">
        <f>_xlfn.LOGNORM.DIST(C347,Dataset!G$62,Dataset!G$63,TRUE)</f>
        <v>0.40441801342622674</v>
      </c>
      <c r="H347" s="86">
        <f t="shared" si="27"/>
        <v>4.418013426226719E-3</v>
      </c>
      <c r="I347" s="87">
        <f>EXP(-EXP(-(C347-Dataset!G$59)/Dataset!G$58))</f>
        <v>0.4450902410134101</v>
      </c>
      <c r="J347" s="86">
        <f t="shared" si="28"/>
        <v>4.5090241013410082E-2</v>
      </c>
    </row>
    <row r="348" spans="1:10" x14ac:dyDescent="0.3">
      <c r="A348" s="81">
        <v>1971</v>
      </c>
      <c r="B348" s="88">
        <v>21.984565174236199</v>
      </c>
      <c r="C348" s="53">
        <v>19.422037824121201</v>
      </c>
      <c r="D348" s="53">
        <v>21</v>
      </c>
      <c r="E348" s="86">
        <f t="shared" si="25"/>
        <v>-0.24030498341652398</v>
      </c>
      <c r="F348" s="86">
        <f t="shared" si="26"/>
        <v>0.42</v>
      </c>
      <c r="G348" s="86">
        <f>_xlfn.LOGNORM.DIST(C348,Dataset!G$62,Dataset!G$63,TRUE)</f>
        <v>0.4224115836644185</v>
      </c>
      <c r="H348" s="86">
        <f t="shared" si="27"/>
        <v>2.4115836644185151E-3</v>
      </c>
      <c r="I348" s="87">
        <f>EXP(-EXP(-(C348-Dataset!G$59)/Dataset!G$58))</f>
        <v>0.46572946698014028</v>
      </c>
      <c r="J348" s="86">
        <f t="shared" si="28"/>
        <v>4.5729466980140299E-2</v>
      </c>
    </row>
    <row r="349" spans="1:10" x14ac:dyDescent="0.3">
      <c r="A349" s="81">
        <v>1972</v>
      </c>
      <c r="B349" s="88">
        <v>18.065851635022099</v>
      </c>
      <c r="C349" s="53">
        <v>19.450645352896501</v>
      </c>
      <c r="D349" s="53">
        <v>22</v>
      </c>
      <c r="E349" s="86">
        <f t="shared" si="25"/>
        <v>-0.22533719480706688</v>
      </c>
      <c r="F349" s="86">
        <f t="shared" si="26"/>
        <v>0.44</v>
      </c>
      <c r="G349" s="86">
        <f>_xlfn.LOGNORM.DIST(C349,Dataset!G$62,Dataset!G$63,TRUE)</f>
        <v>0.42842629416460709</v>
      </c>
      <c r="H349" s="86">
        <f t="shared" si="27"/>
        <v>1.1573705835392911E-2</v>
      </c>
      <c r="I349" s="87">
        <f>EXP(-EXP(-(C349-Dataset!G$59)/Dataset!G$58))</f>
        <v>0.4725457884309312</v>
      </c>
      <c r="J349" s="86">
        <f t="shared" si="28"/>
        <v>3.25457884309312E-2</v>
      </c>
    </row>
    <row r="350" spans="1:10" x14ac:dyDescent="0.3">
      <c r="A350" s="81">
        <v>1973</v>
      </c>
      <c r="B350" s="88">
        <v>19.654754610402701</v>
      </c>
      <c r="C350" s="53">
        <v>19.455323135955702</v>
      </c>
      <c r="D350" s="53">
        <v>23</v>
      </c>
      <c r="E350" s="86">
        <f t="shared" si="25"/>
        <v>-0.22288972482316996</v>
      </c>
      <c r="F350" s="86">
        <f t="shared" si="26"/>
        <v>0.46</v>
      </c>
      <c r="G350" s="86">
        <f>_xlfn.LOGNORM.DIST(C350,Dataset!G$62,Dataset!G$63,TRUE)</f>
        <v>0.42941057358539803</v>
      </c>
      <c r="H350" s="86">
        <f t="shared" si="27"/>
        <v>3.0589426414601995E-2</v>
      </c>
      <c r="I350" s="87">
        <f>EXP(-EXP(-(C350-Dataset!G$59)/Dataset!G$58))</f>
        <v>0.4736573014680584</v>
      </c>
      <c r="J350" s="86">
        <f t="shared" si="28"/>
        <v>1.365730146805838E-2</v>
      </c>
    </row>
    <row r="351" spans="1:10" x14ac:dyDescent="0.3">
      <c r="A351" s="81">
        <v>1974</v>
      </c>
      <c r="B351" s="88">
        <v>21.256484883285601</v>
      </c>
      <c r="C351" s="53">
        <v>19.645265369094499</v>
      </c>
      <c r="D351" s="53">
        <v>24</v>
      </c>
      <c r="E351" s="86">
        <f t="shared" si="25"/>
        <v>-0.1235097603403791</v>
      </c>
      <c r="F351" s="86">
        <f t="shared" si="26"/>
        <v>0.48</v>
      </c>
      <c r="G351" s="86">
        <f>_xlfn.LOGNORM.DIST(C351,Dataset!G$62,Dataset!G$63,TRUE)</f>
        <v>0.46947938042853588</v>
      </c>
      <c r="H351" s="86">
        <f t="shared" si="27"/>
        <v>1.0520619571464107E-2</v>
      </c>
      <c r="I351" s="87">
        <f>EXP(-EXP(-(C351-Dataset!G$59)/Dataset!G$58))</f>
        <v>0.51796753094817294</v>
      </c>
      <c r="J351" s="86">
        <f t="shared" si="28"/>
        <v>3.7967530948172956E-2</v>
      </c>
    </row>
    <row r="352" spans="1:10" x14ac:dyDescent="0.3">
      <c r="A352" s="81">
        <v>1975</v>
      </c>
      <c r="B352" s="88">
        <v>19.113241162285</v>
      </c>
      <c r="C352" s="53">
        <v>19.654754610402701</v>
      </c>
      <c r="D352" s="53">
        <v>25</v>
      </c>
      <c r="E352" s="86">
        <f t="shared" si="25"/>
        <v>-0.1185448799733643</v>
      </c>
      <c r="F352" s="86">
        <f t="shared" si="26"/>
        <v>0.5</v>
      </c>
      <c r="G352" s="86">
        <f>_xlfn.LOGNORM.DIST(C352,Dataset!G$62,Dataset!G$63,TRUE)</f>
        <v>0.47148251204621211</v>
      </c>
      <c r="H352" s="86">
        <f t="shared" si="27"/>
        <v>2.851748795378789E-2</v>
      </c>
      <c r="I352" s="87">
        <f>EXP(-EXP(-(C352-Dataset!G$59)/Dataset!G$58))</f>
        <v>0.52013494252026871</v>
      </c>
      <c r="J352" s="86">
        <f t="shared" si="28"/>
        <v>2.0134942520268706E-2</v>
      </c>
    </row>
    <row r="353" spans="1:10" x14ac:dyDescent="0.3">
      <c r="A353" s="81">
        <v>1976</v>
      </c>
      <c r="B353" s="88">
        <v>20.448731714348501</v>
      </c>
      <c r="C353" s="53">
        <v>19.657091073048498</v>
      </c>
      <c r="D353" s="53">
        <v>26</v>
      </c>
      <c r="E353" s="86">
        <f t="shared" si="25"/>
        <v>-0.11732241580140214</v>
      </c>
      <c r="F353" s="86">
        <f t="shared" si="26"/>
        <v>0.52</v>
      </c>
      <c r="G353" s="86">
        <f>_xlfn.LOGNORM.DIST(C353,Dataset!G$62,Dataset!G$63,TRUE)</f>
        <v>0.47197569193813904</v>
      </c>
      <c r="H353" s="86">
        <f t="shared" si="27"/>
        <v>4.8024308061860976E-2</v>
      </c>
      <c r="I353" s="87">
        <f>EXP(-EXP(-(C353-Dataset!G$59)/Dataset!G$58))</f>
        <v>0.52066787679718951</v>
      </c>
      <c r="J353" s="86">
        <f t="shared" si="28"/>
        <v>6.6787679718949278E-4</v>
      </c>
    </row>
    <row r="354" spans="1:10" x14ac:dyDescent="0.3">
      <c r="A354" s="81">
        <v>1977</v>
      </c>
      <c r="B354" s="88">
        <v>20.000196330751699</v>
      </c>
      <c r="C354" s="53">
        <v>20.000196330751699</v>
      </c>
      <c r="D354" s="53">
        <v>27</v>
      </c>
      <c r="E354" s="86">
        <f t="shared" si="25"/>
        <v>6.2194207547373752E-2</v>
      </c>
      <c r="F354" s="86">
        <f t="shared" si="26"/>
        <v>0.54</v>
      </c>
      <c r="G354" s="86">
        <f>_xlfn.LOGNORM.DIST(C354,Dataset!G$62,Dataset!G$63,TRUE)</f>
        <v>0.54383831027885754</v>
      </c>
      <c r="H354" s="86">
        <f t="shared" si="27"/>
        <v>3.8383102788575041E-3</v>
      </c>
      <c r="I354" s="87">
        <f>EXP(-EXP(-(C354-Dataset!G$59)/Dataset!G$58))</f>
        <v>0.59546039042629451</v>
      </c>
      <c r="J354" s="86">
        <f t="shared" si="28"/>
        <v>5.546039042629447E-2</v>
      </c>
    </row>
    <row r="355" spans="1:10" x14ac:dyDescent="0.3">
      <c r="A355" s="81">
        <v>1978</v>
      </c>
      <c r="B355" s="88">
        <v>19.450645352896501</v>
      </c>
      <c r="C355" s="53">
        <v>20.024721277663499</v>
      </c>
      <c r="D355" s="53">
        <v>28</v>
      </c>
      <c r="E355" s="86">
        <f t="shared" si="25"/>
        <v>7.5025942295148404E-2</v>
      </c>
      <c r="F355" s="86">
        <f t="shared" si="26"/>
        <v>0.56000000000000005</v>
      </c>
      <c r="G355" s="86">
        <f>_xlfn.LOGNORM.DIST(C355,Dataset!G$62,Dataset!G$63,TRUE)</f>
        <v>0.54890110159821925</v>
      </c>
      <c r="H355" s="86">
        <f t="shared" si="27"/>
        <v>1.1098898401780799E-2</v>
      </c>
      <c r="I355" s="87">
        <f>EXP(-EXP(-(C355-Dataset!G$59)/Dataset!G$58))</f>
        <v>0.60052065573163649</v>
      </c>
      <c r="J355" s="86">
        <f t="shared" si="28"/>
        <v>4.0520655731636435E-2</v>
      </c>
    </row>
    <row r="356" spans="1:10" x14ac:dyDescent="0.3">
      <c r="A356" s="81">
        <v>1979</v>
      </c>
      <c r="B356" s="88">
        <v>17.9416220088955</v>
      </c>
      <c r="C356" s="53">
        <v>20.101426542739599</v>
      </c>
      <c r="D356" s="53">
        <v>29</v>
      </c>
      <c r="E356" s="86">
        <f t="shared" si="25"/>
        <v>0.11515902061552136</v>
      </c>
      <c r="F356" s="86">
        <f t="shared" si="26"/>
        <v>0.57999999999999996</v>
      </c>
      <c r="G356" s="86">
        <f>_xlfn.LOGNORM.DIST(C356,Dataset!G$62,Dataset!G$63,TRUE)</f>
        <v>0.56464105061399561</v>
      </c>
      <c r="H356" s="86">
        <f t="shared" si="27"/>
        <v>1.535894938600435E-2</v>
      </c>
      <c r="I356" s="87">
        <f>EXP(-EXP(-(C356-Dataset!G$59)/Dataset!G$58))</f>
        <v>0.61608340007105655</v>
      </c>
      <c r="J356" s="86">
        <f t="shared" si="28"/>
        <v>3.6083400071056593E-2</v>
      </c>
    </row>
    <row r="357" spans="1:10" x14ac:dyDescent="0.3">
      <c r="A357" s="81">
        <v>1980</v>
      </c>
      <c r="B357" s="88">
        <v>15.529038625388599</v>
      </c>
      <c r="C357" s="53">
        <v>20.107972011905801</v>
      </c>
      <c r="D357" s="53">
        <v>30</v>
      </c>
      <c r="E357" s="86">
        <f t="shared" si="25"/>
        <v>0.11858368548605078</v>
      </c>
      <c r="F357" s="86">
        <f t="shared" si="26"/>
        <v>0.6</v>
      </c>
      <c r="G357" s="86">
        <f>_xlfn.LOGNORM.DIST(C357,Dataset!G$62,Dataset!G$63,TRUE)</f>
        <v>0.56597704069777399</v>
      </c>
      <c r="H357" s="86">
        <f t="shared" si="27"/>
        <v>3.4022959302225986E-2</v>
      </c>
      <c r="I357" s="87">
        <f>EXP(-EXP(-(C357-Dataset!G$59)/Dataset!G$58))</f>
        <v>0.61739266646359847</v>
      </c>
      <c r="J357" s="86">
        <f t="shared" si="28"/>
        <v>1.7392666463598494E-2</v>
      </c>
    </row>
    <row r="358" spans="1:10" x14ac:dyDescent="0.3">
      <c r="A358" s="81">
        <v>1981</v>
      </c>
      <c r="B358" s="88">
        <v>19.200047478874598</v>
      </c>
      <c r="C358" s="53">
        <v>20.170434504087499</v>
      </c>
      <c r="D358" s="53">
        <v>31</v>
      </c>
      <c r="E358" s="86">
        <f t="shared" si="25"/>
        <v>0.15126478095357487</v>
      </c>
      <c r="F358" s="86">
        <f t="shared" si="26"/>
        <v>0.62</v>
      </c>
      <c r="G358" s="86">
        <f>_xlfn.LOGNORM.DIST(C358,Dataset!G$62,Dataset!G$63,TRUE)</f>
        <v>0.57866448316131736</v>
      </c>
      <c r="H358" s="86">
        <f t="shared" si="27"/>
        <v>4.133551683868264E-2</v>
      </c>
      <c r="I358" s="87">
        <f>EXP(-EXP(-(C358-Dataset!G$59)/Dataset!G$58))</f>
        <v>0.6297364681278147</v>
      </c>
      <c r="J358" s="86">
        <f t="shared" si="28"/>
        <v>9.7364681278147014E-3</v>
      </c>
    </row>
    <row r="359" spans="1:10" x14ac:dyDescent="0.3">
      <c r="A359" s="81">
        <v>1982</v>
      </c>
      <c r="B359" s="88">
        <v>19.455323135955702</v>
      </c>
      <c r="C359" s="53">
        <v>20.448731714348501</v>
      </c>
      <c r="D359" s="53">
        <v>32</v>
      </c>
      <c r="E359" s="86">
        <f t="shared" si="25"/>
        <v>0.29687308730210599</v>
      </c>
      <c r="F359" s="86">
        <f t="shared" si="26"/>
        <v>0.64</v>
      </c>
      <c r="G359" s="86">
        <f>_xlfn.LOGNORM.DIST(C359,Dataset!G$62,Dataset!G$63,TRUE)</f>
        <v>0.63357870314523246</v>
      </c>
      <c r="H359" s="86">
        <f t="shared" si="27"/>
        <v>6.4212968547675553E-3</v>
      </c>
      <c r="I359" s="87">
        <f>EXP(-EXP(-(C359-Dataset!G$59)/Dataset!G$58))</f>
        <v>0.68135354179732144</v>
      </c>
      <c r="J359" s="86">
        <f t="shared" si="28"/>
        <v>4.1353541797321425E-2</v>
      </c>
    </row>
    <row r="360" spans="1:10" x14ac:dyDescent="0.3">
      <c r="A360" s="81">
        <v>1983</v>
      </c>
      <c r="B360" s="88">
        <v>17.693375911609898</v>
      </c>
      <c r="C360" s="53">
        <v>20.623866661035599</v>
      </c>
      <c r="D360" s="53">
        <v>33</v>
      </c>
      <c r="E360" s="86">
        <f t="shared" ref="E360:E377" si="29">(C360-B$379)/B$380</f>
        <v>0.38850570893576308</v>
      </c>
      <c r="F360" s="86">
        <f t="shared" si="26"/>
        <v>0.66</v>
      </c>
      <c r="G360" s="86">
        <f>_xlfn.LOGNORM.DIST(C360,Dataset!G$62,Dataset!G$63,TRUE)</f>
        <v>0.66649739203502456</v>
      </c>
      <c r="H360" s="86">
        <f t="shared" si="27"/>
        <v>6.4973920350245296E-3</v>
      </c>
      <c r="I360" s="87">
        <f>EXP(-EXP(-(C360-Dataset!G$59)/Dataset!G$58))</f>
        <v>0.7109655729685288</v>
      </c>
      <c r="J360" s="86">
        <f t="shared" si="28"/>
        <v>5.0965572968528772E-2</v>
      </c>
    </row>
    <row r="361" spans="1:10" x14ac:dyDescent="0.3">
      <c r="A361" s="81">
        <v>1984</v>
      </c>
      <c r="B361" s="88">
        <v>20.751061958202001</v>
      </c>
      <c r="C361" s="53">
        <v>20.751061958202001</v>
      </c>
      <c r="D361" s="53">
        <v>34</v>
      </c>
      <c r="E361" s="86">
        <f t="shared" si="29"/>
        <v>0.45505575368298939</v>
      </c>
      <c r="F361" s="86">
        <f t="shared" si="26"/>
        <v>0.68</v>
      </c>
      <c r="G361" s="86">
        <f>_xlfn.LOGNORM.DIST(C361,Dataset!G$62,Dataset!G$63,TRUE)</f>
        <v>0.68947618371605945</v>
      </c>
      <c r="H361" s="86">
        <f t="shared" si="27"/>
        <v>9.4761837160594053E-3</v>
      </c>
      <c r="I361" s="87">
        <f>EXP(-EXP(-(C361-Dataset!G$59)/Dataset!G$58))</f>
        <v>0.73108766215460941</v>
      </c>
      <c r="J361" s="86">
        <f t="shared" si="28"/>
        <v>5.1087662154609359E-2</v>
      </c>
    </row>
    <row r="362" spans="1:10" x14ac:dyDescent="0.3">
      <c r="A362" s="81">
        <v>1985</v>
      </c>
      <c r="B362" s="88">
        <v>19.422037824121201</v>
      </c>
      <c r="C362" s="53">
        <v>20.7670519553599</v>
      </c>
      <c r="D362" s="53">
        <v>35</v>
      </c>
      <c r="E362" s="86">
        <f t="shared" si="29"/>
        <v>0.46342190439824771</v>
      </c>
      <c r="F362" s="86">
        <f t="shared" si="26"/>
        <v>0.7</v>
      </c>
      <c r="G362" s="86">
        <f>_xlfn.LOGNORM.DIST(C362,Dataset!G$62,Dataset!G$63,TRUE)</f>
        <v>0.69230585673534628</v>
      </c>
      <c r="H362" s="86">
        <f t="shared" si="27"/>
        <v>7.6941432646536745E-3</v>
      </c>
      <c r="I362" s="87">
        <f>EXP(-EXP(-(C362-Dataset!G$59)/Dataset!G$58))</f>
        <v>0.73353575780709679</v>
      </c>
      <c r="J362" s="86">
        <f t="shared" si="28"/>
        <v>3.3535757807096833E-2</v>
      </c>
    </row>
    <row r="363" spans="1:10" x14ac:dyDescent="0.3">
      <c r="A363" s="81">
        <v>1986</v>
      </c>
      <c r="B363" s="88">
        <v>21.116612879332902</v>
      </c>
      <c r="C363" s="53">
        <v>21.116612879332902</v>
      </c>
      <c r="D363" s="53">
        <v>36</v>
      </c>
      <c r="E363" s="86">
        <f t="shared" si="29"/>
        <v>0.64631620670764078</v>
      </c>
      <c r="F363" s="86">
        <f t="shared" si="26"/>
        <v>0.72</v>
      </c>
      <c r="G363" s="86">
        <f>_xlfn.LOGNORM.DIST(C363,Dataset!G$62,Dataset!G$63,TRUE)</f>
        <v>0.75061729444192848</v>
      </c>
      <c r="H363" s="86">
        <f t="shared" si="27"/>
        <v>3.0617294441928511E-2</v>
      </c>
      <c r="I363" s="87">
        <f>EXP(-EXP(-(C363-Dataset!G$59)/Dataset!G$58))</f>
        <v>0.78263785083085335</v>
      </c>
      <c r="J363" s="86">
        <f t="shared" si="28"/>
        <v>6.2637850830853381E-2</v>
      </c>
    </row>
    <row r="364" spans="1:10" x14ac:dyDescent="0.3">
      <c r="A364" s="81">
        <v>1987</v>
      </c>
      <c r="B364" s="88">
        <v>20.7670519553599</v>
      </c>
      <c r="C364" s="53">
        <v>21.256484883285601</v>
      </c>
      <c r="D364" s="53">
        <v>37</v>
      </c>
      <c r="E364" s="86">
        <f t="shared" si="29"/>
        <v>0.71949885047912132</v>
      </c>
      <c r="F364" s="86">
        <f t="shared" si="26"/>
        <v>0.74</v>
      </c>
      <c r="G364" s="86">
        <f>_xlfn.LOGNORM.DIST(C364,Dataset!G$62,Dataset!G$63,TRUE)</f>
        <v>0.77194459470712418</v>
      </c>
      <c r="H364" s="86">
        <f t="shared" si="27"/>
        <v>3.1944594707124185E-2</v>
      </c>
      <c r="I364" s="87">
        <f>EXP(-EXP(-(C364-Dataset!G$59)/Dataset!G$58))</f>
        <v>0.8000127876422175</v>
      </c>
      <c r="J364" s="86">
        <f t="shared" si="28"/>
        <v>6.0012787642217513E-2</v>
      </c>
    </row>
    <row r="365" spans="1:10" x14ac:dyDescent="0.3">
      <c r="A365" s="81">
        <v>1988</v>
      </c>
      <c r="B365" s="88">
        <v>18.459989820932599</v>
      </c>
      <c r="C365" s="53">
        <v>21.283602956069799</v>
      </c>
      <c r="D365" s="53">
        <v>38</v>
      </c>
      <c r="E365" s="86">
        <f t="shared" si="29"/>
        <v>0.73368733855573565</v>
      </c>
      <c r="F365" s="86">
        <f t="shared" si="26"/>
        <v>0.76</v>
      </c>
      <c r="G365" s="86">
        <f>_xlfn.LOGNORM.DIST(C365,Dataset!G$62,Dataset!G$63,TRUE)</f>
        <v>0.7759417619189003</v>
      </c>
      <c r="H365" s="86">
        <f t="shared" si="27"/>
        <v>1.5941761918900288E-2</v>
      </c>
      <c r="I365" s="87">
        <f>EXP(-EXP(-(C365-Dataset!G$59)/Dataset!G$58))</f>
        <v>0.80323829211632403</v>
      </c>
      <c r="J365" s="86">
        <f t="shared" si="28"/>
        <v>4.3238292116324017E-2</v>
      </c>
    </row>
    <row r="366" spans="1:10" x14ac:dyDescent="0.3">
      <c r="A366" s="81">
        <v>1989</v>
      </c>
      <c r="B366" s="88">
        <v>19.645265369094499</v>
      </c>
      <c r="C366" s="53">
        <v>21.358247994605101</v>
      </c>
      <c r="D366" s="53">
        <v>39</v>
      </c>
      <c r="E366" s="86">
        <f t="shared" si="29"/>
        <v>0.77274248261647782</v>
      </c>
      <c r="F366" s="86">
        <f t="shared" si="26"/>
        <v>0.78</v>
      </c>
      <c r="G366" s="86">
        <f>_xlfn.LOGNORM.DIST(C366,Dataset!G$62,Dataset!G$63,TRUE)</f>
        <v>0.78671097839605908</v>
      </c>
      <c r="H366" s="86">
        <f t="shared" si="27"/>
        <v>6.710978396059053E-3</v>
      </c>
      <c r="I366" s="87">
        <f>EXP(-EXP(-(C366-Dataset!G$59)/Dataset!G$58))</f>
        <v>0.81188300275982017</v>
      </c>
      <c r="J366" s="86">
        <f t="shared" si="28"/>
        <v>3.1883002759820145E-2</v>
      </c>
    </row>
    <row r="367" spans="1:10" x14ac:dyDescent="0.3">
      <c r="A367" s="81">
        <v>1990</v>
      </c>
      <c r="B367" s="88">
        <v>19.657091073048498</v>
      </c>
      <c r="C367" s="53">
        <v>21.411016838242301</v>
      </c>
      <c r="D367" s="53">
        <v>40</v>
      </c>
      <c r="E367" s="86">
        <f t="shared" si="29"/>
        <v>0.80035174949621779</v>
      </c>
      <c r="F367" s="86">
        <f t="shared" si="26"/>
        <v>0.8</v>
      </c>
      <c r="G367" s="86">
        <f>_xlfn.LOGNORM.DIST(C367,Dataset!G$62,Dataset!G$63,TRUE)</f>
        <v>0.79411662405961725</v>
      </c>
      <c r="H367" s="86">
        <f t="shared" si="27"/>
        <v>5.8833759403827957E-3</v>
      </c>
      <c r="I367" s="87">
        <f>EXP(-EXP(-(C367-Dataset!G$59)/Dataset!G$58))</f>
        <v>0.81779093692347971</v>
      </c>
      <c r="J367" s="86">
        <f t="shared" si="28"/>
        <v>1.7790936923479661E-2</v>
      </c>
    </row>
    <row r="368" spans="1:10" x14ac:dyDescent="0.3">
      <c r="A368" s="81">
        <v>1991</v>
      </c>
      <c r="B368" s="88">
        <v>21.584765243945501</v>
      </c>
      <c r="C368" s="53">
        <v>21.5524155010099</v>
      </c>
      <c r="D368" s="53">
        <v>41</v>
      </c>
      <c r="E368" s="86">
        <f t="shared" si="29"/>
        <v>0.87433315874652251</v>
      </c>
      <c r="F368" s="86">
        <f t="shared" si="26"/>
        <v>0.82</v>
      </c>
      <c r="G368" s="86">
        <f>_xlfn.LOGNORM.DIST(C368,Dataset!G$62,Dataset!G$63,TRUE)</f>
        <v>0.81311030677061047</v>
      </c>
      <c r="H368" s="86">
        <f t="shared" si="27"/>
        <v>6.8896932293894819E-3</v>
      </c>
      <c r="I368" s="87">
        <f>EXP(-EXP(-(C368-Dataset!G$59)/Dataset!G$58))</f>
        <v>0.83281831667663275</v>
      </c>
      <c r="J368" s="86">
        <f t="shared" si="28"/>
        <v>1.2818316676632802E-2</v>
      </c>
    </row>
    <row r="369" spans="1:10" x14ac:dyDescent="0.3">
      <c r="A369" s="81">
        <v>1992</v>
      </c>
      <c r="B369" s="88">
        <v>20.101426542739599</v>
      </c>
      <c r="C369" s="53">
        <v>21.584765243945501</v>
      </c>
      <c r="D369" s="53">
        <v>42</v>
      </c>
      <c r="E369" s="86">
        <f t="shared" si="29"/>
        <v>0.89125891691436609</v>
      </c>
      <c r="F369" s="86">
        <f t="shared" si="26"/>
        <v>0.84</v>
      </c>
      <c r="G369" s="86">
        <f>_xlfn.LOGNORM.DIST(C369,Dataset!G$62,Dataset!G$63,TRUE)</f>
        <v>0.81728159635833753</v>
      </c>
      <c r="H369" s="86">
        <f t="shared" si="27"/>
        <v>2.2718403641662444E-2</v>
      </c>
      <c r="I369" s="87">
        <f>EXP(-EXP(-(C369-Dataset!G$59)/Dataset!G$58))</f>
        <v>0.83609653145379392</v>
      </c>
      <c r="J369" s="86">
        <f t="shared" si="28"/>
        <v>3.9034685462060459E-3</v>
      </c>
    </row>
    <row r="370" spans="1:10" x14ac:dyDescent="0.3">
      <c r="A370" s="81">
        <v>1993</v>
      </c>
      <c r="B370" s="88">
        <v>20.623866661035599</v>
      </c>
      <c r="C370" s="53">
        <v>21.808753513219798</v>
      </c>
      <c r="D370" s="53">
        <v>43</v>
      </c>
      <c r="E370" s="86">
        <f t="shared" si="29"/>
        <v>1.0084521597082177</v>
      </c>
      <c r="F370" s="86">
        <f t="shared" si="26"/>
        <v>0.86</v>
      </c>
      <c r="G370" s="86">
        <f>_xlfn.LOGNORM.DIST(C370,Dataset!G$62,Dataset!G$63,TRUE)</f>
        <v>0.8443957962394093</v>
      </c>
      <c r="H370" s="86">
        <f t="shared" si="27"/>
        <v>1.5604203760590685E-2</v>
      </c>
      <c r="I370" s="87">
        <f>EXP(-EXP(-(C370-Dataset!G$59)/Dataset!G$58))</f>
        <v>0.85724738290337044</v>
      </c>
      <c r="J370" s="86">
        <f t="shared" si="28"/>
        <v>2.7526170966295505E-3</v>
      </c>
    </row>
    <row r="371" spans="1:10" x14ac:dyDescent="0.3">
      <c r="A371" s="81">
        <v>1994</v>
      </c>
      <c r="B371" s="88">
        <v>17.2694554239288</v>
      </c>
      <c r="C371" s="53">
        <v>21.9238231385219</v>
      </c>
      <c r="D371" s="53">
        <v>44</v>
      </c>
      <c r="E371" s="86">
        <f t="shared" si="29"/>
        <v>1.0686579132502145</v>
      </c>
      <c r="F371" s="86">
        <f t="shared" si="26"/>
        <v>0.88</v>
      </c>
      <c r="G371" s="86">
        <f>_xlfn.LOGNORM.DIST(C371,Dataset!G$62,Dataset!G$63,TRUE)</f>
        <v>0.85713966645081263</v>
      </c>
      <c r="H371" s="86">
        <f t="shared" si="27"/>
        <v>2.2860333549187373E-2</v>
      </c>
      <c r="I371" s="87">
        <f>EXP(-EXP(-(C371-Dataset!G$59)/Dataset!G$58))</f>
        <v>0.86711601354642653</v>
      </c>
      <c r="J371" s="86">
        <f t="shared" si="28"/>
        <v>1.288398645357347E-2</v>
      </c>
    </row>
    <row r="372" spans="1:10" x14ac:dyDescent="0.3">
      <c r="A372" s="81">
        <v>1995</v>
      </c>
      <c r="B372" s="88">
        <v>24.488666408138901</v>
      </c>
      <c r="C372" s="53">
        <v>21.984565174236199</v>
      </c>
      <c r="D372" s="53">
        <v>45</v>
      </c>
      <c r="E372" s="86">
        <f t="shared" si="29"/>
        <v>1.100438846074608</v>
      </c>
      <c r="F372" s="86">
        <f t="shared" si="26"/>
        <v>0.9</v>
      </c>
      <c r="G372" s="86">
        <f>_xlfn.LOGNORM.DIST(C372,Dataset!G$62,Dataset!G$63,TRUE)</f>
        <v>0.8635487662958713</v>
      </c>
      <c r="H372" s="86">
        <f t="shared" si="27"/>
        <v>3.6451233704128727E-2</v>
      </c>
      <c r="I372" s="87">
        <f>EXP(-EXP(-(C372-Dataset!G$59)/Dataset!G$58))</f>
        <v>0.87206833809901618</v>
      </c>
      <c r="J372" s="86">
        <f t="shared" si="28"/>
        <v>2.793166190098384E-2</v>
      </c>
    </row>
    <row r="373" spans="1:10" x14ac:dyDescent="0.3">
      <c r="A373" s="81">
        <v>1996</v>
      </c>
      <c r="B373" s="88">
        <v>21.358247994605101</v>
      </c>
      <c r="C373" s="53">
        <v>22.1417648801214</v>
      </c>
      <c r="D373" s="53">
        <v>46</v>
      </c>
      <c r="E373" s="86">
        <f t="shared" si="29"/>
        <v>1.1826875431095667</v>
      </c>
      <c r="F373" s="86">
        <f t="shared" si="26"/>
        <v>0.92</v>
      </c>
      <c r="G373" s="86">
        <f>_xlfn.LOGNORM.DIST(C373,Dataset!G$62,Dataset!G$63,TRUE)</f>
        <v>0.87913812289230597</v>
      </c>
      <c r="H373" s="86">
        <f t="shared" si="27"/>
        <v>4.0861877107694067E-2</v>
      </c>
      <c r="I373" s="87">
        <f>EXP(-EXP(-(C373-Dataset!G$59)/Dataset!G$58))</f>
        <v>0.88410206213770837</v>
      </c>
      <c r="J373" s="86">
        <f t="shared" si="28"/>
        <v>3.5897937862291673E-2</v>
      </c>
    </row>
    <row r="374" spans="1:10" x14ac:dyDescent="0.3">
      <c r="A374" s="81">
        <v>1997</v>
      </c>
      <c r="B374" s="88">
        <v>21.283602956069799</v>
      </c>
      <c r="C374" s="53">
        <v>22.951601277360201</v>
      </c>
      <c r="D374" s="53">
        <v>47</v>
      </c>
      <c r="E374" s="86">
        <f t="shared" si="29"/>
        <v>1.6064032753324931</v>
      </c>
      <c r="F374" s="86">
        <f t="shared" si="26"/>
        <v>0.94</v>
      </c>
      <c r="G374" s="86">
        <f>_xlfn.LOGNORM.DIST(C374,Dataset!G$62,Dataset!G$63,TRUE)</f>
        <v>0.93885304678369397</v>
      </c>
      <c r="H374" s="86">
        <f t="shared" si="27"/>
        <v>1.1469532163059792E-3</v>
      </c>
      <c r="I374" s="87">
        <f>EXP(-EXP(-(C374-Dataset!G$59)/Dataset!G$58))</f>
        <v>0.93096136903063342</v>
      </c>
      <c r="J374" s="86">
        <f t="shared" si="28"/>
        <v>9.0386309693665234E-3</v>
      </c>
    </row>
    <row r="375" spans="1:10" x14ac:dyDescent="0.3">
      <c r="A375" s="81">
        <v>1998</v>
      </c>
      <c r="B375" s="88">
        <v>18.764957632900298</v>
      </c>
      <c r="C375" s="53">
        <v>22.9698279888588</v>
      </c>
      <c r="D375" s="53">
        <v>48</v>
      </c>
      <c r="E375" s="86">
        <f t="shared" si="29"/>
        <v>1.6159397007574021</v>
      </c>
      <c r="F375" s="86">
        <f t="shared" si="26"/>
        <v>0.96</v>
      </c>
      <c r="G375" s="86">
        <f>_xlfn.LOGNORM.DIST(C375,Dataset!G$62,Dataset!G$63,TRUE)</f>
        <v>0.93984729539586276</v>
      </c>
      <c r="H375" s="86">
        <f t="shared" si="27"/>
        <v>2.0152704604137206E-2</v>
      </c>
      <c r="I375" s="87">
        <f>EXP(-EXP(-(C375-Dataset!G$59)/Dataset!G$58))</f>
        <v>0.93177134020464103</v>
      </c>
      <c r="J375" s="86">
        <f t="shared" si="28"/>
        <v>2.8228659795358935E-2</v>
      </c>
    </row>
    <row r="376" spans="1:10" x14ac:dyDescent="0.3">
      <c r="A376" s="81">
        <v>1999</v>
      </c>
      <c r="B376" s="88">
        <v>21.808753513219798</v>
      </c>
      <c r="C376" s="53">
        <v>24.285804324279599</v>
      </c>
      <c r="D376" s="53">
        <v>49</v>
      </c>
      <c r="E376" s="86">
        <f t="shared" si="29"/>
        <v>2.3044736792894205</v>
      </c>
      <c r="F376" s="86">
        <f t="shared" si="26"/>
        <v>0.98</v>
      </c>
      <c r="G376" s="86">
        <f>_xlfn.LOGNORM.DIST(C376,Dataset!G$62,Dataset!G$63,TRUE)</f>
        <v>0.98359236946639184</v>
      </c>
      <c r="H376" s="86">
        <f t="shared" si="27"/>
        <v>3.5923694663918537E-3</v>
      </c>
      <c r="I376" s="87">
        <f>EXP(-EXP(-(C376-Dataset!G$59)/Dataset!G$58))</f>
        <v>0.97120163229779699</v>
      </c>
      <c r="J376" s="86">
        <f t="shared" si="28"/>
        <v>8.7983677022029916E-3</v>
      </c>
    </row>
    <row r="377" spans="1:10" x14ac:dyDescent="0.3">
      <c r="A377" s="81">
        <v>2000</v>
      </c>
      <c r="B377" s="88">
        <v>24.285804324279599</v>
      </c>
      <c r="C377" s="53">
        <v>24.488666408138901</v>
      </c>
      <c r="D377" s="53">
        <v>50</v>
      </c>
      <c r="E377" s="86">
        <f t="shared" si="29"/>
        <v>2.4106134585038217</v>
      </c>
      <c r="F377" s="86">
        <f t="shared" si="26"/>
        <v>1</v>
      </c>
      <c r="G377" s="86">
        <f>_xlfn.LOGNORM.DIST(C377,Dataset!G$62,Dataset!G$63,TRUE)</f>
        <v>0.98682672206607502</v>
      </c>
      <c r="H377" s="86">
        <f t="shared" si="27"/>
        <v>1.3173277933924976E-2</v>
      </c>
      <c r="I377" s="87">
        <f>EXP(-EXP(-(C377-Dataset!G$59)/Dataset!G$58))</f>
        <v>0.9748203160834098</v>
      </c>
      <c r="J377" s="86">
        <f t="shared" si="28"/>
        <v>2.5179683916590201E-2</v>
      </c>
    </row>
    <row r="379" spans="1:10" x14ac:dyDescent="0.3">
      <c r="A379" s="81" t="s">
        <v>12</v>
      </c>
      <c r="B379" s="53">
        <f>AVERAGE(C328:C377)</f>
        <v>19.881326227191824</v>
      </c>
      <c r="C379" s="80" t="s">
        <v>14</v>
      </c>
      <c r="D379" s="53">
        <v>50</v>
      </c>
      <c r="G379" s="91" t="s">
        <v>25</v>
      </c>
      <c r="H379" s="91">
        <f>MAX(H328:H377)</f>
        <v>4.8024308061860976E-2</v>
      </c>
      <c r="I379" s="91" t="s">
        <v>25</v>
      </c>
      <c r="J379" s="91">
        <f>MAX(J328:J377)</f>
        <v>6.2637850830853381E-2</v>
      </c>
    </row>
    <row r="380" spans="1:10" x14ac:dyDescent="0.3">
      <c r="A380" s="81" t="s">
        <v>13</v>
      </c>
      <c r="B380" s="53">
        <f>_xlfn.STDEV.S(C328:C377)</f>
        <v>1.9112729022124857</v>
      </c>
      <c r="C380" s="80" t="s">
        <v>15</v>
      </c>
      <c r="D380" s="53">
        <v>50</v>
      </c>
      <c r="G380" s="91" t="s">
        <v>23</v>
      </c>
      <c r="H380" s="91">
        <v>0.05</v>
      </c>
      <c r="I380" s="91" t="s">
        <v>23</v>
      </c>
      <c r="J380" s="91">
        <v>0.05</v>
      </c>
    </row>
    <row r="381" spans="1:10" x14ac:dyDescent="0.3">
      <c r="G381" s="91" t="s">
        <v>26</v>
      </c>
      <c r="H381" s="91">
        <v>0.19</v>
      </c>
      <c r="I381" s="91" t="s">
        <v>26</v>
      </c>
      <c r="J381" s="91">
        <v>0.19</v>
      </c>
    </row>
    <row r="382" spans="1:10" x14ac:dyDescent="0.3">
      <c r="G382" s="139" t="s">
        <v>32</v>
      </c>
      <c r="H382" s="139"/>
      <c r="I382" s="139"/>
      <c r="J382" s="139"/>
    </row>
    <row r="383" spans="1:10" x14ac:dyDescent="0.3">
      <c r="A383" s="141" t="s">
        <v>28</v>
      </c>
      <c r="B383" s="141"/>
      <c r="C383" s="141"/>
      <c r="D383" s="141"/>
      <c r="E383" s="141"/>
      <c r="F383" s="141"/>
      <c r="G383" s="141"/>
    </row>
    <row r="384" spans="1:10" x14ac:dyDescent="0.3">
      <c r="A384" s="138" t="s">
        <v>36</v>
      </c>
      <c r="B384" s="138"/>
      <c r="C384" s="138"/>
      <c r="E384" s="140" t="s">
        <v>37</v>
      </c>
      <c r="F384" s="140"/>
      <c r="G384" s="140"/>
    </row>
    <row r="385" spans="1:34" x14ac:dyDescent="0.3">
      <c r="A385" s="88" t="s">
        <v>29</v>
      </c>
      <c r="B385" s="53"/>
      <c r="C385" s="53" cm="1">
        <f t="array" ref="C385">-(SUM(LN(B328:B377)))-((50/2)*LN(Dataset!G$63^2))-((50/2)*LN(2*PI()))-((1/(2*Dataset!G$63^2))*SUM((LN(B328:B377)-Dataset!G$62)^2))</f>
        <v>-102.63996754430906</v>
      </c>
      <c r="E385" s="53" t="s">
        <v>29</v>
      </c>
      <c r="F385" s="53"/>
      <c r="G385" s="53" cm="1">
        <f t="array" ref="G385">-50*LN(Dataset!G$58) + 50*Dataset!G$59/Dataset!G$58 - SUM((B328:B377)/Dataset!G$58) -(EXP(Dataset!G$59/Dataset!G$58)*SUM(EXP(-(B328:B377)/Dataset!G$58)))</f>
        <v>-107.18551738873356</v>
      </c>
    </row>
    <row r="386" spans="1:34" x14ac:dyDescent="0.3">
      <c r="A386" s="90"/>
      <c r="B386" s="53"/>
      <c r="C386" s="53"/>
      <c r="E386" s="53"/>
      <c r="F386" s="53"/>
      <c r="G386" s="53"/>
    </row>
    <row r="387" spans="1:34" x14ac:dyDescent="0.3">
      <c r="A387" s="90" t="s">
        <v>30</v>
      </c>
      <c r="B387" s="53"/>
      <c r="C387" s="53">
        <f>-2*C385+2*2</f>
        <v>209.27993508861812</v>
      </c>
      <c r="E387" s="53" t="s">
        <v>30</v>
      </c>
      <c r="F387" s="53"/>
      <c r="G387" s="53">
        <f>-2*G385+2*2</f>
        <v>218.37103477746712</v>
      </c>
    </row>
    <row r="388" spans="1:34" x14ac:dyDescent="0.3">
      <c r="A388" s="90" t="s">
        <v>31</v>
      </c>
      <c r="B388" s="53"/>
      <c r="C388" s="53">
        <f>-2*C385+2*LN(50)</f>
        <v>213.1039810994744</v>
      </c>
      <c r="E388" s="53" t="s">
        <v>31</v>
      </c>
      <c r="F388" s="53"/>
      <c r="G388" s="53">
        <f>-2*G385+2*LN(50)</f>
        <v>222.19508078832339</v>
      </c>
    </row>
    <row r="389" spans="1:34" x14ac:dyDescent="0.3">
      <c r="A389" s="2" t="s">
        <v>48</v>
      </c>
      <c r="I389" s="1"/>
    </row>
    <row r="391" spans="1:34" x14ac:dyDescent="0.3">
      <c r="A391" s="136" t="s">
        <v>44</v>
      </c>
      <c r="B391" s="136"/>
      <c r="C391" s="136"/>
      <c r="D391" s="136"/>
      <c r="E391" s="136"/>
      <c r="F391" s="136"/>
      <c r="G391" s="136"/>
      <c r="H391" s="136"/>
      <c r="I391" s="136"/>
      <c r="J391" s="136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57.6" x14ac:dyDescent="0.3">
      <c r="A392" s="81" t="s">
        <v>49</v>
      </c>
      <c r="B392" s="80" t="s">
        <v>27</v>
      </c>
      <c r="C392" s="80" t="s">
        <v>11</v>
      </c>
      <c r="D392" s="82" t="s">
        <v>16</v>
      </c>
      <c r="E392" s="83" t="s">
        <v>17</v>
      </c>
      <c r="F392" s="83" t="s">
        <v>18</v>
      </c>
      <c r="G392" s="82" t="s">
        <v>19</v>
      </c>
      <c r="H392" s="82" t="s">
        <v>20</v>
      </c>
      <c r="I392" s="82" t="s">
        <v>21</v>
      </c>
      <c r="J392" s="82" t="s">
        <v>22</v>
      </c>
    </row>
    <row r="393" spans="1:34" x14ac:dyDescent="0.3">
      <c r="A393" s="81">
        <v>1951</v>
      </c>
      <c r="B393" s="88" cm="1">
        <f t="array" ref="B393:B442">Dataset!H$2:H$51</f>
        <v>28.863165648272901</v>
      </c>
      <c r="C393" s="53">
        <v>24.0094007365511</v>
      </c>
      <c r="D393" s="53">
        <v>1</v>
      </c>
      <c r="E393" s="86">
        <f t="shared" ref="E393:E424" si="30">(C393-B$444)/B$445</f>
        <v>-2.1869180868677627</v>
      </c>
      <c r="F393" s="86">
        <f>D393/50</f>
        <v>0.02</v>
      </c>
      <c r="G393" s="86">
        <f>_xlfn.LOGNORM.DIST(C393,Dataset!H$62,Dataset!H$63,TRUE)</f>
        <v>7.5730565559766535E-3</v>
      </c>
      <c r="H393" s="86">
        <f>ABS(G393-F393)</f>
        <v>1.2426943444023347E-2</v>
      </c>
      <c r="I393" s="87">
        <f>EXP(-EXP(-(C393-Dataset!H$59)/Dataset!H$58))</f>
        <v>9.3421764268271945E-5</v>
      </c>
      <c r="J393" s="86">
        <f>ABS(I393-F393)</f>
        <v>1.9906578235731727E-2</v>
      </c>
    </row>
    <row r="394" spans="1:34" x14ac:dyDescent="0.3">
      <c r="A394" s="81">
        <v>1952</v>
      </c>
      <c r="B394" s="88">
        <v>37.777551597294902</v>
      </c>
      <c r="C394" s="53">
        <v>25.953961488307499</v>
      </c>
      <c r="D394" s="53">
        <v>2</v>
      </c>
      <c r="E394" s="86">
        <f t="shared" si="30"/>
        <v>-1.5668841738027515</v>
      </c>
      <c r="F394" s="86">
        <f t="shared" ref="F394:F442" si="31">D394/50</f>
        <v>0.04</v>
      </c>
      <c r="G394" s="86">
        <f>_xlfn.LOGNORM.DIST(C394,Dataset!H$62,Dataset!H$63,TRUE)</f>
        <v>4.8419408596725257E-2</v>
      </c>
      <c r="H394" s="86">
        <f t="shared" ref="H394:H442" si="32">ABS(G394-F394)</f>
        <v>8.4194085967252558E-3</v>
      </c>
      <c r="I394" s="87">
        <f>EXP(-EXP(-(C394-Dataset!H$59)/Dataset!H$58))</f>
        <v>1.516237467586364E-2</v>
      </c>
      <c r="J394" s="86">
        <f t="shared" ref="J394:J442" si="33">ABS(I394-F394)</f>
        <v>2.4837625324136359E-2</v>
      </c>
    </row>
    <row r="395" spans="1:34" x14ac:dyDescent="0.3">
      <c r="A395" s="81">
        <v>1953</v>
      </c>
      <c r="B395" s="88">
        <v>32.898740995138098</v>
      </c>
      <c r="C395" s="53">
        <v>26.280925682232699</v>
      </c>
      <c r="D395" s="53">
        <v>3</v>
      </c>
      <c r="E395" s="86">
        <f t="shared" si="30"/>
        <v>-1.4626298385198468</v>
      </c>
      <c r="F395" s="86">
        <f t="shared" si="31"/>
        <v>0.06</v>
      </c>
      <c r="G395" s="86">
        <f>_xlfn.LOGNORM.DIST(C395,Dataset!H$62,Dataset!H$63,TRUE)</f>
        <v>6.2166263651161277E-2</v>
      </c>
      <c r="H395" s="86">
        <f t="shared" si="32"/>
        <v>2.1662636511612793E-3</v>
      </c>
      <c r="I395" s="87">
        <f>EXP(-EXP(-(C395-Dataset!H$59)/Dataset!H$58))</f>
        <v>2.5613095535155096E-2</v>
      </c>
      <c r="J395" s="86">
        <f t="shared" si="33"/>
        <v>3.4386904464844902E-2</v>
      </c>
    </row>
    <row r="396" spans="1:34" x14ac:dyDescent="0.3">
      <c r="A396" s="81">
        <v>1954</v>
      </c>
      <c r="B396" s="88">
        <v>33.5457394282043</v>
      </c>
      <c r="C396" s="53">
        <v>26.7304553334518</v>
      </c>
      <c r="D396" s="53">
        <v>4</v>
      </c>
      <c r="E396" s="86">
        <f t="shared" si="30"/>
        <v>-1.3192948316642492</v>
      </c>
      <c r="F396" s="86">
        <f t="shared" si="31"/>
        <v>0.08</v>
      </c>
      <c r="G396" s="86">
        <f>_xlfn.LOGNORM.DIST(C396,Dataset!H$62,Dataset!H$63,TRUE)</f>
        <v>8.5424485061024083E-2</v>
      </c>
      <c r="H396" s="86">
        <f t="shared" si="32"/>
        <v>5.4244850610240813E-3</v>
      </c>
      <c r="I396" s="87">
        <f>EXP(-EXP(-(C396-Dataset!H$59)/Dataset!H$58))</f>
        <v>4.7394512652189191E-2</v>
      </c>
      <c r="J396" s="86">
        <f t="shared" si="33"/>
        <v>3.260548734781081E-2</v>
      </c>
    </row>
    <row r="397" spans="1:34" x14ac:dyDescent="0.3">
      <c r="A397" s="81">
        <v>1955</v>
      </c>
      <c r="B397" s="88">
        <v>32.4009439534073</v>
      </c>
      <c r="C397" s="53">
        <v>26.803823917869</v>
      </c>
      <c r="D397" s="53">
        <v>5</v>
      </c>
      <c r="E397" s="86">
        <f t="shared" si="30"/>
        <v>-1.2959008541548567</v>
      </c>
      <c r="F397" s="86">
        <f t="shared" si="31"/>
        <v>0.1</v>
      </c>
      <c r="G397" s="86">
        <f>_xlfn.LOGNORM.DIST(C397,Dataset!H$62,Dataset!H$63,TRUE)</f>
        <v>8.9727743739801982E-2</v>
      </c>
      <c r="H397" s="86">
        <f t="shared" si="32"/>
        <v>1.0272256260198023E-2</v>
      </c>
      <c r="I397" s="87">
        <f>EXP(-EXP(-(C397-Dataset!H$59)/Dataset!H$58))</f>
        <v>5.1864721600671355E-2</v>
      </c>
      <c r="J397" s="86">
        <f t="shared" si="33"/>
        <v>4.813527839932865E-2</v>
      </c>
    </row>
    <row r="398" spans="1:34" x14ac:dyDescent="0.3">
      <c r="A398" s="81">
        <v>1956</v>
      </c>
      <c r="B398" s="88">
        <v>32.485048229122398</v>
      </c>
      <c r="C398" s="53">
        <v>27.417197149232301</v>
      </c>
      <c r="D398" s="53">
        <v>6</v>
      </c>
      <c r="E398" s="86">
        <f t="shared" si="30"/>
        <v>-1.100323418753054</v>
      </c>
      <c r="F398" s="86">
        <f t="shared" si="31"/>
        <v>0.12</v>
      </c>
      <c r="G398" s="86">
        <f>_xlfn.LOGNORM.DIST(C398,Dataset!H$62,Dataset!H$63,TRUE)</f>
        <v>0.13153458664872439</v>
      </c>
      <c r="H398" s="86">
        <f t="shared" si="32"/>
        <v>1.1534586648724393E-2</v>
      </c>
      <c r="I398" s="87">
        <f>EXP(-EXP(-(C398-Dataset!H$59)/Dataset!H$58))</f>
        <v>9.9996442322225085E-2</v>
      </c>
      <c r="J398" s="86">
        <f t="shared" si="33"/>
        <v>2.0003557677774911E-2</v>
      </c>
    </row>
    <row r="399" spans="1:34" x14ac:dyDescent="0.3">
      <c r="A399" s="81">
        <v>1957</v>
      </c>
      <c r="B399" s="88">
        <v>32.846113067855697</v>
      </c>
      <c r="C399" s="53">
        <v>27.629853910433699</v>
      </c>
      <c r="D399" s="53">
        <v>7</v>
      </c>
      <c r="E399" s="86">
        <f t="shared" si="30"/>
        <v>-1.0325166383948992</v>
      </c>
      <c r="F399" s="86">
        <f t="shared" si="31"/>
        <v>0.14000000000000001</v>
      </c>
      <c r="G399" s="86">
        <f>_xlfn.LOGNORM.DIST(C399,Dataset!H$62,Dataset!H$63,TRUE)</f>
        <v>0.14849174899760512</v>
      </c>
      <c r="H399" s="86">
        <f t="shared" si="32"/>
        <v>8.491748997605103E-3</v>
      </c>
      <c r="I399" s="87">
        <f>EXP(-EXP(-(C399-Dataset!H$59)/Dataset!H$58))</f>
        <v>0.12113754850762325</v>
      </c>
      <c r="J399" s="86">
        <f t="shared" si="33"/>
        <v>1.8862451492376767E-2</v>
      </c>
      <c r="S399" s="1"/>
    </row>
    <row r="400" spans="1:34" x14ac:dyDescent="0.3">
      <c r="A400" s="81">
        <v>1958</v>
      </c>
      <c r="B400" s="88">
        <v>34.983111095132898</v>
      </c>
      <c r="C400" s="53">
        <v>27.7141235380073</v>
      </c>
      <c r="D400" s="53">
        <v>8</v>
      </c>
      <c r="E400" s="86">
        <f t="shared" si="30"/>
        <v>-1.0056468031944321</v>
      </c>
      <c r="F400" s="86">
        <f t="shared" si="31"/>
        <v>0.16</v>
      </c>
      <c r="G400" s="86">
        <f>_xlfn.LOGNORM.DIST(C400,Dataset!H$62,Dataset!H$63,TRUE)</f>
        <v>0.15556027052649396</v>
      </c>
      <c r="H400" s="86">
        <f t="shared" si="32"/>
        <v>4.4397294735060433E-3</v>
      </c>
      <c r="I400" s="87">
        <f>EXP(-EXP(-(C400-Dataset!H$59)/Dataset!H$58))</f>
        <v>0.13011674479875701</v>
      </c>
      <c r="J400" s="86">
        <f t="shared" si="33"/>
        <v>2.9883255201242992E-2</v>
      </c>
    </row>
    <row r="401" spans="1:10" x14ac:dyDescent="0.3">
      <c r="A401" s="81">
        <v>1959</v>
      </c>
      <c r="B401" s="88">
        <v>26.280925682232699</v>
      </c>
      <c r="C401" s="53">
        <v>27.726113197090498</v>
      </c>
      <c r="D401" s="53">
        <v>9</v>
      </c>
      <c r="E401" s="86">
        <f t="shared" si="30"/>
        <v>-1.0018238343152359</v>
      </c>
      <c r="F401" s="86">
        <f t="shared" si="31"/>
        <v>0.18</v>
      </c>
      <c r="G401" s="86">
        <f>_xlfn.LOGNORM.DIST(C401,Dataset!H$62,Dataset!H$63,TRUE)</f>
        <v>0.15658192612274752</v>
      </c>
      <c r="H401" s="86">
        <f t="shared" si="32"/>
        <v>2.3418073877252477E-2</v>
      </c>
      <c r="I401" s="87">
        <f>EXP(-EXP(-(C401-Dataset!H$59)/Dataset!H$58))</f>
        <v>0.13142113184786267</v>
      </c>
      <c r="J401" s="86">
        <f t="shared" si="33"/>
        <v>4.8578868152137328E-2</v>
      </c>
    </row>
    <row r="402" spans="1:10" x14ac:dyDescent="0.3">
      <c r="A402" s="81">
        <v>1960</v>
      </c>
      <c r="B402" s="88">
        <v>29.0701342847909</v>
      </c>
      <c r="C402" s="53">
        <v>27.943031530240098</v>
      </c>
      <c r="D402" s="53">
        <v>10</v>
      </c>
      <c r="E402" s="86">
        <f t="shared" si="30"/>
        <v>-0.93265822825391642</v>
      </c>
      <c r="F402" s="86">
        <f t="shared" si="31"/>
        <v>0.2</v>
      </c>
      <c r="G402" s="86">
        <f>_xlfn.LOGNORM.DIST(C402,Dataset!H$62,Dataset!H$63,TRUE)</f>
        <v>0.17574466805852215</v>
      </c>
      <c r="H402" s="86">
        <f t="shared" si="32"/>
        <v>2.4255331941477859E-2</v>
      </c>
      <c r="I402" s="87">
        <f>EXP(-EXP(-(C402-Dataset!H$59)/Dataset!H$58))</f>
        <v>0.15612807235557857</v>
      </c>
      <c r="J402" s="86">
        <f t="shared" si="33"/>
        <v>4.3871927644421438E-2</v>
      </c>
    </row>
    <row r="403" spans="1:10" x14ac:dyDescent="0.3">
      <c r="A403" s="81">
        <v>1961</v>
      </c>
      <c r="B403" s="88">
        <v>33.911174580366797</v>
      </c>
      <c r="C403" s="53">
        <v>28.147568337671</v>
      </c>
      <c r="D403" s="53">
        <v>11</v>
      </c>
      <c r="E403" s="86">
        <f t="shared" si="30"/>
        <v>-0.8674405399082793</v>
      </c>
      <c r="F403" s="86">
        <f t="shared" si="31"/>
        <v>0.22</v>
      </c>
      <c r="G403" s="86">
        <f>_xlfn.LOGNORM.DIST(C403,Dataset!H$62,Dataset!H$63,TRUE)</f>
        <v>0.1949668746574183</v>
      </c>
      <c r="H403" s="86">
        <f t="shared" si="32"/>
        <v>2.5033125342581702E-2</v>
      </c>
      <c r="I403" s="87">
        <f>EXP(-EXP(-(C403-Dataset!H$59)/Dataset!H$58))</f>
        <v>0.18121707783235755</v>
      </c>
      <c r="J403" s="86">
        <f t="shared" si="33"/>
        <v>3.8782922167642453E-2</v>
      </c>
    </row>
    <row r="404" spans="1:10" x14ac:dyDescent="0.3">
      <c r="A404" s="81">
        <v>1962</v>
      </c>
      <c r="B404" s="88">
        <v>24.0094007365511</v>
      </c>
      <c r="C404" s="53">
        <v>28.376207361910001</v>
      </c>
      <c r="D404" s="53">
        <v>12</v>
      </c>
      <c r="E404" s="86">
        <f t="shared" si="30"/>
        <v>-0.79453772689499214</v>
      </c>
      <c r="F404" s="86">
        <f t="shared" si="31"/>
        <v>0.24</v>
      </c>
      <c r="G404" s="86">
        <f>_xlfn.LOGNORM.DIST(C404,Dataset!H$62,Dataset!H$63,TRUE)</f>
        <v>0.21772290220850993</v>
      </c>
      <c r="H404" s="86">
        <f t="shared" si="32"/>
        <v>2.2277097791490064E-2</v>
      </c>
      <c r="I404" s="87">
        <f>EXP(-EXP(-(C404-Dataset!H$59)/Dataset!H$58))</f>
        <v>0.21106489831451511</v>
      </c>
      <c r="J404" s="86">
        <f t="shared" si="33"/>
        <v>2.8935101685484882E-2</v>
      </c>
    </row>
    <row r="405" spans="1:10" x14ac:dyDescent="0.3">
      <c r="A405" s="81">
        <v>1963</v>
      </c>
      <c r="B405" s="88">
        <v>29.270387398915702</v>
      </c>
      <c r="C405" s="53">
        <v>28.546355641041298</v>
      </c>
      <c r="D405" s="53">
        <v>13</v>
      </c>
      <c r="E405" s="86">
        <f t="shared" si="30"/>
        <v>-0.74028501032865879</v>
      </c>
      <c r="F405" s="86">
        <f t="shared" si="31"/>
        <v>0.26</v>
      </c>
      <c r="G405" s="86">
        <f>_xlfn.LOGNORM.DIST(C405,Dataset!H$62,Dataset!H$63,TRUE)</f>
        <v>0.23548102039670638</v>
      </c>
      <c r="H405" s="86">
        <f t="shared" si="32"/>
        <v>2.4518979603293634E-2</v>
      </c>
      <c r="I405" s="87">
        <f>EXP(-EXP(-(C405-Dataset!H$59)/Dataset!H$58))</f>
        <v>0.23432955542433948</v>
      </c>
      <c r="J405" s="86">
        <f t="shared" si="33"/>
        <v>2.5670444575660534E-2</v>
      </c>
    </row>
    <row r="406" spans="1:10" x14ac:dyDescent="0.3">
      <c r="A406" s="81">
        <v>1964</v>
      </c>
      <c r="B406" s="88">
        <v>32.804214411665903</v>
      </c>
      <c r="C406" s="53">
        <v>28.563620864674199</v>
      </c>
      <c r="D406" s="53">
        <v>14</v>
      </c>
      <c r="E406" s="86">
        <f t="shared" si="30"/>
        <v>-0.73477989861673065</v>
      </c>
      <c r="F406" s="86">
        <f t="shared" si="31"/>
        <v>0.28000000000000003</v>
      </c>
      <c r="G406" s="86">
        <f>_xlfn.LOGNORM.DIST(C406,Dataset!H$62,Dataset!H$63,TRUE)</f>
        <v>0.23732050371617144</v>
      </c>
      <c r="H406" s="86">
        <f t="shared" si="32"/>
        <v>4.2679496283828583E-2</v>
      </c>
      <c r="I406" s="87">
        <f>EXP(-EXP(-(C406-Dataset!H$59)/Dataset!H$58))</f>
        <v>0.23673412896142729</v>
      </c>
      <c r="J406" s="86">
        <f t="shared" si="33"/>
        <v>4.326587103857274E-2</v>
      </c>
    </row>
    <row r="407" spans="1:10" x14ac:dyDescent="0.3">
      <c r="A407" s="81">
        <v>1965</v>
      </c>
      <c r="B407" s="88">
        <v>33.002619663172197</v>
      </c>
      <c r="C407" s="53">
        <v>28.7734659363276</v>
      </c>
      <c r="D407" s="53">
        <v>15</v>
      </c>
      <c r="E407" s="86">
        <f t="shared" si="30"/>
        <v>-0.66786964096746737</v>
      </c>
      <c r="F407" s="86">
        <f t="shared" si="31"/>
        <v>0.3</v>
      </c>
      <c r="G407" s="86">
        <f>_xlfn.LOGNORM.DIST(C407,Dataset!H$62,Dataset!H$63,TRUE)</f>
        <v>0.26020327648713637</v>
      </c>
      <c r="H407" s="86">
        <f t="shared" si="32"/>
        <v>3.9796723512863619E-2</v>
      </c>
      <c r="I407" s="87">
        <f>EXP(-EXP(-(C407-Dataset!H$59)/Dataset!H$58))</f>
        <v>0.26651433105231231</v>
      </c>
      <c r="J407" s="86">
        <f t="shared" si="33"/>
        <v>3.3485668947687675E-2</v>
      </c>
    </row>
    <row r="408" spans="1:10" x14ac:dyDescent="0.3">
      <c r="A408" s="81">
        <v>1966</v>
      </c>
      <c r="B408" s="88">
        <v>26.7304553334518</v>
      </c>
      <c r="C408" s="53">
        <v>28.863165648272901</v>
      </c>
      <c r="D408" s="53">
        <v>16</v>
      </c>
      <c r="E408" s="86">
        <f t="shared" si="30"/>
        <v>-0.63926839343739461</v>
      </c>
      <c r="F408" s="86">
        <f t="shared" si="31"/>
        <v>0.32</v>
      </c>
      <c r="G408" s="86">
        <f>_xlfn.LOGNORM.DIST(C408,Dataset!H$62,Dataset!H$63,TRUE)</f>
        <v>0.27026740649753278</v>
      </c>
      <c r="H408" s="86">
        <f t="shared" si="32"/>
        <v>4.9732593502467226E-2</v>
      </c>
      <c r="I408" s="87">
        <f>EXP(-EXP(-(C408-Dataset!H$59)/Dataset!H$58))</f>
        <v>0.27951511501695592</v>
      </c>
      <c r="J408" s="86">
        <f t="shared" si="33"/>
        <v>4.0484884983044089E-2</v>
      </c>
    </row>
    <row r="409" spans="1:10" x14ac:dyDescent="0.3">
      <c r="A409" s="81">
        <v>1967</v>
      </c>
      <c r="B409" s="88">
        <v>32.038704781005201</v>
      </c>
      <c r="C409" s="53">
        <v>28.901385207946099</v>
      </c>
      <c r="D409" s="53">
        <v>17</v>
      </c>
      <c r="E409" s="86">
        <f t="shared" si="30"/>
        <v>-0.62708187619004696</v>
      </c>
      <c r="F409" s="86">
        <f t="shared" si="31"/>
        <v>0.34</v>
      </c>
      <c r="G409" s="86">
        <f>_xlfn.LOGNORM.DIST(C409,Dataset!H$62,Dataset!H$63,TRUE)</f>
        <v>0.27460426496685902</v>
      </c>
      <c r="H409" s="86">
        <f t="shared" si="32"/>
        <v>6.5395735033141E-2</v>
      </c>
      <c r="I409" s="87">
        <f>EXP(-EXP(-(C409-Dataset!H$59)/Dataset!H$58))</f>
        <v>0.28509577633336508</v>
      </c>
      <c r="J409" s="86">
        <f t="shared" si="33"/>
        <v>5.4904223666634944E-2</v>
      </c>
    </row>
    <row r="410" spans="1:10" x14ac:dyDescent="0.3">
      <c r="A410" s="81">
        <v>1968</v>
      </c>
      <c r="B410" s="88">
        <v>28.147568337671</v>
      </c>
      <c r="C410" s="53">
        <v>28.961910582067102</v>
      </c>
      <c r="D410" s="53">
        <v>18</v>
      </c>
      <c r="E410" s="86">
        <f t="shared" si="30"/>
        <v>-0.60778302706842779</v>
      </c>
      <c r="F410" s="86">
        <f t="shared" si="31"/>
        <v>0.36</v>
      </c>
      <c r="G410" s="86">
        <f>_xlfn.LOGNORM.DIST(C410,Dataset!H$62,Dataset!H$63,TRUE)</f>
        <v>0.28152977257516792</v>
      </c>
      <c r="H410" s="86">
        <f t="shared" si="32"/>
        <v>7.8470227424832062E-2</v>
      </c>
      <c r="I410" s="87">
        <f>EXP(-EXP(-(C410-Dataset!H$59)/Dataset!H$58))</f>
        <v>0.2939783787958738</v>
      </c>
      <c r="J410" s="86">
        <f t="shared" si="33"/>
        <v>6.6021621204126191E-2</v>
      </c>
    </row>
    <row r="411" spans="1:10" x14ac:dyDescent="0.3">
      <c r="A411" s="81">
        <v>1969</v>
      </c>
      <c r="B411" s="88">
        <v>27.7141235380073</v>
      </c>
      <c r="C411" s="53">
        <v>29.038922255427401</v>
      </c>
      <c r="D411" s="53">
        <v>19</v>
      </c>
      <c r="E411" s="86">
        <f t="shared" si="30"/>
        <v>-0.58322743057079107</v>
      </c>
      <c r="F411" s="86">
        <f t="shared" si="31"/>
        <v>0.38</v>
      </c>
      <c r="G411" s="86">
        <f>_xlfn.LOGNORM.DIST(C411,Dataset!H$62,Dataset!H$63,TRUE)</f>
        <v>0.29044033588258256</v>
      </c>
      <c r="H411" s="86">
        <f t="shared" si="32"/>
        <v>8.9559664117417448E-2</v>
      </c>
      <c r="I411" s="87">
        <f>EXP(-EXP(-(C411-Dataset!H$59)/Dataset!H$58))</f>
        <v>0.30535113625881527</v>
      </c>
      <c r="J411" s="86">
        <f t="shared" si="33"/>
        <v>7.4648863741184734E-2</v>
      </c>
    </row>
    <row r="412" spans="1:10" x14ac:dyDescent="0.3">
      <c r="A412" s="81">
        <v>1970</v>
      </c>
      <c r="B412" s="88">
        <v>28.546355641041298</v>
      </c>
      <c r="C412" s="53">
        <v>29.0701342847909</v>
      </c>
      <c r="D412" s="53">
        <v>20</v>
      </c>
      <c r="E412" s="86">
        <f t="shared" si="30"/>
        <v>-0.57327530298440943</v>
      </c>
      <c r="F412" s="86">
        <f t="shared" si="31"/>
        <v>0.4</v>
      </c>
      <c r="G412" s="86">
        <f>_xlfn.LOGNORM.DIST(C412,Dataset!H$62,Dataset!H$63,TRUE)</f>
        <v>0.2940820966207357</v>
      </c>
      <c r="H412" s="86">
        <f t="shared" si="32"/>
        <v>0.10591790337926432</v>
      </c>
      <c r="I412" s="87">
        <f>EXP(-EXP(-(C412-Dataset!H$59)/Dataset!H$58))</f>
        <v>0.30998019681308925</v>
      </c>
      <c r="J412" s="86">
        <f t="shared" si="33"/>
        <v>9.0019803186910774E-2</v>
      </c>
    </row>
    <row r="413" spans="1:10" x14ac:dyDescent="0.3">
      <c r="A413" s="81">
        <v>1971</v>
      </c>
      <c r="B413" s="88">
        <v>27.417197149232301</v>
      </c>
      <c r="C413" s="53">
        <v>29.270387398915702</v>
      </c>
      <c r="D413" s="53">
        <v>21</v>
      </c>
      <c r="E413" s="86">
        <f t="shared" si="30"/>
        <v>-0.50942349385882357</v>
      </c>
      <c r="F413" s="86">
        <f t="shared" si="31"/>
        <v>0.42</v>
      </c>
      <c r="G413" s="86">
        <f>_xlfn.LOGNORM.DIST(C413,Dataset!H$62,Dataset!H$63,TRUE)</f>
        <v>0.3178369607404693</v>
      </c>
      <c r="H413" s="86">
        <f t="shared" si="32"/>
        <v>0.10216303925953069</v>
      </c>
      <c r="I413" s="87">
        <f>EXP(-EXP(-(C413-Dataset!H$59)/Dataset!H$58))</f>
        <v>0.33988415220607632</v>
      </c>
      <c r="J413" s="86">
        <f t="shared" si="33"/>
        <v>8.0115847793923667E-2</v>
      </c>
    </row>
    <row r="414" spans="1:10" x14ac:dyDescent="0.3">
      <c r="A414" s="81">
        <v>1972</v>
      </c>
      <c r="B414" s="88">
        <v>27.629853910433699</v>
      </c>
      <c r="C414" s="53">
        <v>29.364781570103901</v>
      </c>
      <c r="D414" s="53">
        <v>22</v>
      </c>
      <c r="E414" s="86">
        <f t="shared" si="30"/>
        <v>-0.47932539212583158</v>
      </c>
      <c r="F414" s="86">
        <f t="shared" si="31"/>
        <v>0.44</v>
      </c>
      <c r="G414" s="86">
        <f>_xlfn.LOGNORM.DIST(C414,Dataset!H$62,Dataset!H$63,TRUE)</f>
        <v>0.32925018169936693</v>
      </c>
      <c r="H414" s="86">
        <f t="shared" si="32"/>
        <v>0.11074981830063307</v>
      </c>
      <c r="I414" s="87">
        <f>EXP(-EXP(-(C414-Dataset!H$59)/Dataset!H$58))</f>
        <v>0.35406111686793668</v>
      </c>
      <c r="J414" s="86">
        <f t="shared" si="33"/>
        <v>8.5938883132063326E-2</v>
      </c>
    </row>
    <row r="415" spans="1:10" x14ac:dyDescent="0.3">
      <c r="A415" s="81">
        <v>1973</v>
      </c>
      <c r="B415" s="88">
        <v>32.175160907045601</v>
      </c>
      <c r="C415" s="53">
        <v>29.364888687569501</v>
      </c>
      <c r="D415" s="53">
        <v>23</v>
      </c>
      <c r="E415" s="86">
        <f t="shared" si="30"/>
        <v>-0.47929123713155153</v>
      </c>
      <c r="F415" s="86">
        <f t="shared" si="31"/>
        <v>0.46</v>
      </c>
      <c r="G415" s="86">
        <f>_xlfn.LOGNORM.DIST(C415,Dataset!H$62,Dataset!H$63,TRUE)</f>
        <v>0.32926320573433021</v>
      </c>
      <c r="H415" s="86">
        <f t="shared" si="32"/>
        <v>0.13073679426566981</v>
      </c>
      <c r="I415" s="87">
        <f>EXP(-EXP(-(C415-Dataset!H$59)/Dataset!H$58))</f>
        <v>0.3540772208268585</v>
      </c>
      <c r="J415" s="86">
        <f t="shared" si="33"/>
        <v>0.10592277917314152</v>
      </c>
    </row>
    <row r="416" spans="1:10" x14ac:dyDescent="0.3">
      <c r="A416" s="81">
        <v>1974</v>
      </c>
      <c r="B416" s="88">
        <v>34.576947876904299</v>
      </c>
      <c r="C416" s="53">
        <v>29.6467892152084</v>
      </c>
      <c r="D416" s="53">
        <v>24</v>
      </c>
      <c r="E416" s="86">
        <f t="shared" si="30"/>
        <v>-0.38940570021059723</v>
      </c>
      <c r="F416" s="86">
        <f t="shared" si="31"/>
        <v>0.48</v>
      </c>
      <c r="G416" s="86">
        <f>_xlfn.LOGNORM.DIST(C416,Dataset!H$62,Dataset!H$63,TRUE)</f>
        <v>0.36404379220199778</v>
      </c>
      <c r="H416" s="86">
        <f t="shared" si="32"/>
        <v>0.1159562077980022</v>
      </c>
      <c r="I416" s="87">
        <f>EXP(-EXP(-(C416-Dataset!H$59)/Dataset!H$58))</f>
        <v>0.39645667911270899</v>
      </c>
      <c r="J416" s="86">
        <f t="shared" si="33"/>
        <v>8.3543320887290995E-2</v>
      </c>
    </row>
    <row r="417" spans="1:10" x14ac:dyDescent="0.3">
      <c r="A417" s="81">
        <v>1975</v>
      </c>
      <c r="B417" s="88">
        <v>34.341407981568302</v>
      </c>
      <c r="C417" s="53">
        <v>29.713337808750602</v>
      </c>
      <c r="D417" s="53">
        <v>25</v>
      </c>
      <c r="E417" s="86">
        <f t="shared" si="30"/>
        <v>-0.36818631437980009</v>
      </c>
      <c r="F417" s="86">
        <f t="shared" si="31"/>
        <v>0.5</v>
      </c>
      <c r="G417" s="86">
        <f>_xlfn.LOGNORM.DIST(C417,Dataset!H$62,Dataset!H$63,TRUE)</f>
        <v>0.37238428518126765</v>
      </c>
      <c r="H417" s="86">
        <f t="shared" si="32"/>
        <v>0.12761571481873235</v>
      </c>
      <c r="I417" s="87">
        <f>EXP(-EXP(-(C417-Dataset!H$59)/Dataset!H$58))</f>
        <v>0.40642794838983193</v>
      </c>
      <c r="J417" s="86">
        <f t="shared" si="33"/>
        <v>9.3572051610168072E-2</v>
      </c>
    </row>
    <row r="418" spans="1:10" x14ac:dyDescent="0.3">
      <c r="A418" s="81">
        <v>1976</v>
      </c>
      <c r="B418" s="88">
        <v>28.901385207946099</v>
      </c>
      <c r="C418" s="53">
        <v>30.768190672382399</v>
      </c>
      <c r="D418" s="53">
        <v>26</v>
      </c>
      <c r="E418" s="86">
        <f t="shared" si="30"/>
        <v>-3.184066503215232E-2</v>
      </c>
      <c r="F418" s="86">
        <f t="shared" si="31"/>
        <v>0.52</v>
      </c>
      <c r="G418" s="86">
        <f>_xlfn.LOGNORM.DIST(C418,Dataset!H$62,Dataset!H$63,TRUE)</f>
        <v>0.50745805594392013</v>
      </c>
      <c r="H418" s="86">
        <f t="shared" si="32"/>
        <v>1.254194405607989E-2</v>
      </c>
      <c r="I418" s="87">
        <f>EXP(-EXP(-(C418-Dataset!H$59)/Dataset!H$58))</f>
        <v>0.55717707260335836</v>
      </c>
      <c r="J418" s="86">
        <f t="shared" si="33"/>
        <v>3.7177072603358341E-2</v>
      </c>
    </row>
    <row r="419" spans="1:10" x14ac:dyDescent="0.3">
      <c r="A419" s="81">
        <v>1977</v>
      </c>
      <c r="B419" s="88">
        <v>29.364781570103901</v>
      </c>
      <c r="C419" s="53">
        <v>31.7678406310594</v>
      </c>
      <c r="D419" s="53">
        <v>27</v>
      </c>
      <c r="E419" s="86">
        <f t="shared" si="30"/>
        <v>0.28690323382209332</v>
      </c>
      <c r="F419" s="86">
        <f t="shared" si="31"/>
        <v>0.54</v>
      </c>
      <c r="G419" s="86">
        <f>_xlfn.LOGNORM.DIST(C419,Dataset!H$62,Dataset!H$63,TRUE)</f>
        <v>0.6308852390275872</v>
      </c>
      <c r="H419" s="86">
        <f t="shared" si="32"/>
        <v>9.0885239027587161E-2</v>
      </c>
      <c r="I419" s="87">
        <f>EXP(-EXP(-(C419-Dataset!H$59)/Dataset!H$58))</f>
        <v>0.67799759964538042</v>
      </c>
      <c r="J419" s="86">
        <f t="shared" si="33"/>
        <v>0.13799759964538039</v>
      </c>
    </row>
    <row r="420" spans="1:10" x14ac:dyDescent="0.3">
      <c r="A420" s="81">
        <v>1978</v>
      </c>
      <c r="B420" s="88">
        <v>34.0195676482791</v>
      </c>
      <c r="C420" s="53">
        <v>32.038704781005201</v>
      </c>
      <c r="D420" s="53">
        <v>28</v>
      </c>
      <c r="E420" s="86">
        <f t="shared" si="30"/>
        <v>0.37326976088905633</v>
      </c>
      <c r="F420" s="86">
        <f t="shared" si="31"/>
        <v>0.56000000000000005</v>
      </c>
      <c r="G420" s="86">
        <f>_xlfn.LOGNORM.DIST(C420,Dataset!H$62,Dataset!H$63,TRUE)</f>
        <v>0.66201853886416329</v>
      </c>
      <c r="H420" s="86">
        <f t="shared" si="32"/>
        <v>0.10201853886416323</v>
      </c>
      <c r="I420" s="87">
        <f>EXP(-EXP(-(C420-Dataset!H$59)/Dataset!H$58))</f>
        <v>0.70619564490793063</v>
      </c>
      <c r="J420" s="86">
        <f t="shared" si="33"/>
        <v>0.14619564490793058</v>
      </c>
    </row>
    <row r="421" spans="1:10" x14ac:dyDescent="0.3">
      <c r="A421" s="81">
        <v>1979</v>
      </c>
      <c r="B421" s="88">
        <v>29.6467892152084</v>
      </c>
      <c r="C421" s="53">
        <v>32.175160907045601</v>
      </c>
      <c r="D421" s="53">
        <v>29</v>
      </c>
      <c r="E421" s="86">
        <f t="shared" si="30"/>
        <v>0.41677954874942597</v>
      </c>
      <c r="F421" s="86">
        <f t="shared" si="31"/>
        <v>0.57999999999999996</v>
      </c>
      <c r="G421" s="86">
        <f>_xlfn.LOGNORM.DIST(C421,Dataset!H$62,Dataset!H$63,TRUE)</f>
        <v>0.67721209686239081</v>
      </c>
      <c r="H421" s="86">
        <f t="shared" si="32"/>
        <v>9.7212096862390851E-2</v>
      </c>
      <c r="I421" s="87">
        <f>EXP(-EXP(-(C421-Dataset!H$59)/Dataset!H$58))</f>
        <v>0.71965573635233138</v>
      </c>
      <c r="J421" s="86">
        <f t="shared" si="33"/>
        <v>0.13965573635233142</v>
      </c>
    </row>
    <row r="422" spans="1:10" x14ac:dyDescent="0.3">
      <c r="A422" s="81">
        <v>1980</v>
      </c>
      <c r="B422" s="88">
        <v>28.376207361910001</v>
      </c>
      <c r="C422" s="53">
        <v>32.2352627234335</v>
      </c>
      <c r="D422" s="53">
        <v>30</v>
      </c>
      <c r="E422" s="86">
        <f t="shared" si="30"/>
        <v>0.43594334415342378</v>
      </c>
      <c r="F422" s="86">
        <f t="shared" si="31"/>
        <v>0.6</v>
      </c>
      <c r="G422" s="86">
        <f>_xlfn.LOGNORM.DIST(C422,Dataset!H$62,Dataset!H$63,TRUE)</f>
        <v>0.68379316861374417</v>
      </c>
      <c r="H422" s="86">
        <f t="shared" si="32"/>
        <v>8.3793168613744196E-2</v>
      </c>
      <c r="I422" s="87">
        <f>EXP(-EXP(-(C422-Dataset!H$59)/Dataset!H$58))</f>
        <v>0.72542700270709737</v>
      </c>
      <c r="J422" s="86">
        <f t="shared" si="33"/>
        <v>0.12542700270709739</v>
      </c>
    </row>
    <row r="423" spans="1:10" x14ac:dyDescent="0.3">
      <c r="A423" s="81">
        <v>1981</v>
      </c>
      <c r="B423" s="88">
        <v>28.563620864674199</v>
      </c>
      <c r="C423" s="53">
        <v>32.4009439534073</v>
      </c>
      <c r="D423" s="53">
        <v>31</v>
      </c>
      <c r="E423" s="86">
        <f t="shared" si="30"/>
        <v>0.48877171747592918</v>
      </c>
      <c r="F423" s="86">
        <f t="shared" si="31"/>
        <v>0.62</v>
      </c>
      <c r="G423" s="86">
        <f>_xlfn.LOGNORM.DIST(C423,Dataset!H$62,Dataset!H$63,TRUE)</f>
        <v>0.70156965329202681</v>
      </c>
      <c r="H423" s="86">
        <f t="shared" si="32"/>
        <v>8.1569653292026811E-2</v>
      </c>
      <c r="I423" s="87">
        <f>EXP(-EXP(-(C423-Dataset!H$59)/Dataset!H$58))</f>
        <v>0.74084352057325253</v>
      </c>
      <c r="J423" s="86">
        <f t="shared" si="33"/>
        <v>0.12084352057325254</v>
      </c>
    </row>
    <row r="424" spans="1:10" x14ac:dyDescent="0.3">
      <c r="A424" s="81">
        <v>1982</v>
      </c>
      <c r="B424" s="88">
        <v>29.713337808750602</v>
      </c>
      <c r="C424" s="53">
        <v>32.485048229122398</v>
      </c>
      <c r="D424" s="53">
        <v>32</v>
      </c>
      <c r="E424" s="86">
        <f t="shared" si="30"/>
        <v>0.51558882932498284</v>
      </c>
      <c r="F424" s="86">
        <f t="shared" si="31"/>
        <v>0.64</v>
      </c>
      <c r="G424" s="86">
        <f>_xlfn.LOGNORM.DIST(C424,Dataset!H$62,Dataset!H$63,TRUE)</f>
        <v>0.71038209331031954</v>
      </c>
      <c r="H424" s="86">
        <f t="shared" si="32"/>
        <v>7.0382093310319527E-2</v>
      </c>
      <c r="I424" s="87">
        <f>EXP(-EXP(-(C424-Dataset!H$59)/Dataset!H$58))</f>
        <v>0.74839531286400118</v>
      </c>
      <c r="J424" s="86">
        <f t="shared" si="33"/>
        <v>0.10839531286400117</v>
      </c>
    </row>
    <row r="425" spans="1:10" x14ac:dyDescent="0.3">
      <c r="A425" s="81">
        <v>1983</v>
      </c>
      <c r="B425" s="88">
        <v>34.817867697369998</v>
      </c>
      <c r="C425" s="53">
        <v>32.496384675321899</v>
      </c>
      <c r="D425" s="53">
        <v>33</v>
      </c>
      <c r="E425" s="86">
        <f t="shared" ref="E425:E442" si="34">(C425-B$444)/B$445</f>
        <v>0.51920351767605566</v>
      </c>
      <c r="F425" s="86">
        <f t="shared" si="31"/>
        <v>0.66</v>
      </c>
      <c r="G425" s="86">
        <f>_xlfn.LOGNORM.DIST(C425,Dataset!H$62,Dataset!H$63,TRUE)</f>
        <v>0.7115587908090133</v>
      </c>
      <c r="H425" s="86">
        <f t="shared" si="32"/>
        <v>5.1558790809013266E-2</v>
      </c>
      <c r="I425" s="87">
        <f>EXP(-EXP(-(C425-Dataset!H$59)/Dataset!H$58))</f>
        <v>0.74939924402747016</v>
      </c>
      <c r="J425" s="86">
        <f t="shared" si="33"/>
        <v>8.9399244027470126E-2</v>
      </c>
    </row>
    <row r="426" spans="1:10" x14ac:dyDescent="0.3">
      <c r="A426" s="81">
        <v>1984</v>
      </c>
      <c r="B426" s="88">
        <v>25.953961488307499</v>
      </c>
      <c r="C426" s="53">
        <v>32.804214411665903</v>
      </c>
      <c r="D426" s="53">
        <v>34</v>
      </c>
      <c r="E426" s="86">
        <f t="shared" si="34"/>
        <v>0.61735672570041156</v>
      </c>
      <c r="F426" s="86">
        <f t="shared" si="31"/>
        <v>0.68</v>
      </c>
      <c r="G426" s="86">
        <f>_xlfn.LOGNORM.DIST(C426,Dataset!H$62,Dataset!H$63,TRUE)</f>
        <v>0.74247003176102699</v>
      </c>
      <c r="H426" s="86">
        <f t="shared" si="32"/>
        <v>6.2470031761026945E-2</v>
      </c>
      <c r="I426" s="87">
        <f>EXP(-EXP(-(C426-Dataset!H$59)/Dataset!H$58))</f>
        <v>0.77541298578179907</v>
      </c>
      <c r="J426" s="86">
        <f t="shared" si="33"/>
        <v>9.541298578179902E-2</v>
      </c>
    </row>
    <row r="427" spans="1:10" x14ac:dyDescent="0.3">
      <c r="A427" s="81">
        <v>1985</v>
      </c>
      <c r="B427" s="88">
        <v>35.645127532536797</v>
      </c>
      <c r="C427" s="53">
        <v>32.846113067855697</v>
      </c>
      <c r="D427" s="53">
        <v>35</v>
      </c>
      <c r="E427" s="86">
        <f t="shared" si="34"/>
        <v>0.63071634314926661</v>
      </c>
      <c r="F427" s="86">
        <f t="shared" si="31"/>
        <v>0.7</v>
      </c>
      <c r="G427" s="86">
        <f>_xlfn.LOGNORM.DIST(C427,Dataset!H$62,Dataset!H$63,TRUE)</f>
        <v>0.74651868317769865</v>
      </c>
      <c r="H427" s="86">
        <f t="shared" si="32"/>
        <v>4.6518683177698694E-2</v>
      </c>
      <c r="I427" s="87">
        <f>EXP(-EXP(-(C427-Dataset!H$59)/Dataset!H$58))</f>
        <v>0.77877099016726381</v>
      </c>
      <c r="J427" s="86">
        <f t="shared" si="33"/>
        <v>7.8770990167263855E-2</v>
      </c>
    </row>
    <row r="428" spans="1:10" x14ac:dyDescent="0.3">
      <c r="A428" s="81">
        <v>1986</v>
      </c>
      <c r="B428" s="88">
        <v>27.726113197090498</v>
      </c>
      <c r="C428" s="53">
        <v>32.898740995138098</v>
      </c>
      <c r="D428" s="53">
        <v>36</v>
      </c>
      <c r="E428" s="86">
        <f t="shared" si="34"/>
        <v>0.64749704781994066</v>
      </c>
      <c r="F428" s="86">
        <f t="shared" si="31"/>
        <v>0.72</v>
      </c>
      <c r="G428" s="86">
        <f>_xlfn.LOGNORM.DIST(C428,Dataset!H$62,Dataset!H$63,TRUE)</f>
        <v>0.75154910756910209</v>
      </c>
      <c r="H428" s="86">
        <f t="shared" si="32"/>
        <v>3.1549107569102119E-2</v>
      </c>
      <c r="I428" s="87">
        <f>EXP(-EXP(-(C428-Dataset!H$59)/Dataset!H$58))</f>
        <v>0.78292818895780192</v>
      </c>
      <c r="J428" s="86">
        <f t="shared" si="33"/>
        <v>6.2928188957801945E-2</v>
      </c>
    </row>
    <row r="429" spans="1:10" x14ac:dyDescent="0.3">
      <c r="A429" s="81">
        <v>1987</v>
      </c>
      <c r="B429" s="88">
        <v>28.7734659363276</v>
      </c>
      <c r="C429" s="53">
        <v>33.002619663172197</v>
      </c>
      <c r="D429" s="53">
        <v>37</v>
      </c>
      <c r="E429" s="86">
        <f t="shared" si="34"/>
        <v>0.68061933364566651</v>
      </c>
      <c r="F429" s="86">
        <f t="shared" si="31"/>
        <v>0.74</v>
      </c>
      <c r="G429" s="86">
        <f>_xlfn.LOGNORM.DIST(C429,Dataset!H$62,Dataset!H$63,TRUE)</f>
        <v>0.76129713983178604</v>
      </c>
      <c r="H429" s="86">
        <f t="shared" si="32"/>
        <v>2.1297139831786049E-2</v>
      </c>
      <c r="I429" s="87">
        <f>EXP(-EXP(-(C429-Dataset!H$59)/Dataset!H$58))</f>
        <v>0.7909376706587864</v>
      </c>
      <c r="J429" s="86">
        <f t="shared" si="33"/>
        <v>5.0937670658786405E-2</v>
      </c>
    </row>
    <row r="430" spans="1:10" x14ac:dyDescent="0.3">
      <c r="A430" s="81">
        <v>1988</v>
      </c>
      <c r="B430" s="88">
        <v>32.496384675321899</v>
      </c>
      <c r="C430" s="53">
        <v>33.383431650032001</v>
      </c>
      <c r="D430" s="53">
        <v>38</v>
      </c>
      <c r="E430" s="86">
        <f t="shared" si="34"/>
        <v>0.80204333448569021</v>
      </c>
      <c r="F430" s="86">
        <f t="shared" si="31"/>
        <v>0.76</v>
      </c>
      <c r="G430" s="86">
        <f>_xlfn.LOGNORM.DIST(C430,Dataset!H$62,Dataset!H$63,TRUE)</f>
        <v>0.79494272015686573</v>
      </c>
      <c r="H430" s="86">
        <f t="shared" si="32"/>
        <v>3.4942720156865725E-2</v>
      </c>
      <c r="I430" s="87">
        <f>EXP(-EXP(-(C430-Dataset!H$59)/Dataset!H$58))</f>
        <v>0.81814751908399963</v>
      </c>
      <c r="J430" s="86">
        <f t="shared" si="33"/>
        <v>5.8147519083999621E-2</v>
      </c>
    </row>
    <row r="431" spans="1:10" x14ac:dyDescent="0.3">
      <c r="A431" s="81">
        <v>1989</v>
      </c>
      <c r="B431" s="88">
        <v>35.349616029735401</v>
      </c>
      <c r="C431" s="53">
        <v>33.5457394282043</v>
      </c>
      <c r="D431" s="53">
        <v>39</v>
      </c>
      <c r="E431" s="86">
        <f t="shared" si="34"/>
        <v>0.85379606410864461</v>
      </c>
      <c r="F431" s="86">
        <f t="shared" si="31"/>
        <v>0.78</v>
      </c>
      <c r="G431" s="86">
        <f>_xlfn.LOGNORM.DIST(C431,Dataset!H$62,Dataset!H$63,TRUE)</f>
        <v>0.80827363404646557</v>
      </c>
      <c r="H431" s="86">
        <f t="shared" si="32"/>
        <v>2.8273634046465546E-2</v>
      </c>
      <c r="I431" s="87">
        <f>EXP(-EXP(-(C431-Dataset!H$59)/Dataset!H$58))</f>
        <v>0.82876180432160629</v>
      </c>
      <c r="J431" s="86">
        <f t="shared" si="33"/>
        <v>4.8761804321606261E-2</v>
      </c>
    </row>
    <row r="432" spans="1:10" x14ac:dyDescent="0.3">
      <c r="A432" s="81">
        <v>1990</v>
      </c>
      <c r="B432" s="88">
        <v>26.803823917869</v>
      </c>
      <c r="C432" s="53">
        <v>33.911174580366797</v>
      </c>
      <c r="D432" s="53">
        <v>40</v>
      </c>
      <c r="E432" s="86">
        <f t="shared" si="34"/>
        <v>0.97031707645663312</v>
      </c>
      <c r="F432" s="86">
        <f t="shared" si="31"/>
        <v>0.8</v>
      </c>
      <c r="G432" s="86">
        <f>_xlfn.LOGNORM.DIST(C432,Dataset!H$62,Dataset!H$63,TRUE)</f>
        <v>0.83607825261624547</v>
      </c>
      <c r="H432" s="86">
        <f t="shared" si="32"/>
        <v>3.6078252616245421E-2</v>
      </c>
      <c r="I432" s="87">
        <f>EXP(-EXP(-(C432-Dataset!H$59)/Dataset!H$58))</f>
        <v>0.85065406111865183</v>
      </c>
      <c r="J432" s="86">
        <f t="shared" si="33"/>
        <v>5.0654061118651783E-2</v>
      </c>
    </row>
    <row r="433" spans="1:11" x14ac:dyDescent="0.3">
      <c r="A433" s="81">
        <v>1991</v>
      </c>
      <c r="B433" s="88">
        <v>35.589029754493602</v>
      </c>
      <c r="C433" s="53">
        <v>34.0195676482791</v>
      </c>
      <c r="D433" s="53">
        <v>41</v>
      </c>
      <c r="E433" s="86">
        <f t="shared" si="34"/>
        <v>1.0048788035644556</v>
      </c>
      <c r="F433" s="86">
        <f t="shared" si="31"/>
        <v>0.82</v>
      </c>
      <c r="G433" s="86">
        <f>_xlfn.LOGNORM.DIST(C433,Dataset!H$62,Dataset!H$63,TRUE)</f>
        <v>0.84374221824481532</v>
      </c>
      <c r="H433" s="86">
        <f t="shared" si="32"/>
        <v>2.3742218244815372E-2</v>
      </c>
      <c r="I433" s="87">
        <f>EXP(-EXP(-(C433-Dataset!H$59)/Dataset!H$58))</f>
        <v>0.85664105278653169</v>
      </c>
      <c r="J433" s="86">
        <f t="shared" si="33"/>
        <v>3.6641052786531736E-2</v>
      </c>
    </row>
    <row r="434" spans="1:11" x14ac:dyDescent="0.3">
      <c r="A434" s="81">
        <v>1992</v>
      </c>
      <c r="B434" s="88">
        <v>29.038922255427401</v>
      </c>
      <c r="C434" s="53">
        <v>34.341407981568302</v>
      </c>
      <c r="D434" s="53">
        <v>42</v>
      </c>
      <c r="E434" s="86">
        <f t="shared" si="34"/>
        <v>1.1074993676436229</v>
      </c>
      <c r="F434" s="86">
        <f t="shared" si="31"/>
        <v>0.84</v>
      </c>
      <c r="G434" s="86">
        <f>_xlfn.LOGNORM.DIST(C434,Dataset!H$62,Dataset!H$63,TRUE)</f>
        <v>0.8649587105922667</v>
      </c>
      <c r="H434" s="86">
        <f t="shared" si="32"/>
        <v>2.4958710592266731E-2</v>
      </c>
      <c r="I434" s="87">
        <f>EXP(-EXP(-(C434-Dataset!H$59)/Dataset!H$58))</f>
        <v>0.87314514312491076</v>
      </c>
      <c r="J434" s="86">
        <f t="shared" si="33"/>
        <v>3.3145143124910792E-2</v>
      </c>
    </row>
    <row r="435" spans="1:11" x14ac:dyDescent="0.3">
      <c r="A435" s="81">
        <v>1993</v>
      </c>
      <c r="B435" s="88">
        <v>32.2352627234335</v>
      </c>
      <c r="C435" s="53">
        <v>34.576947876904299</v>
      </c>
      <c r="D435" s="53">
        <v>43</v>
      </c>
      <c r="E435" s="86">
        <f t="shared" si="34"/>
        <v>1.1826025614400575</v>
      </c>
      <c r="F435" s="86">
        <f t="shared" si="31"/>
        <v>0.86</v>
      </c>
      <c r="G435" s="86">
        <f>_xlfn.LOGNORM.DIST(C435,Dataset!H$62,Dataset!H$63,TRUE)</f>
        <v>0.87906432608032792</v>
      </c>
      <c r="H435" s="86">
        <f t="shared" si="32"/>
        <v>1.9064326080327931E-2</v>
      </c>
      <c r="I435" s="87">
        <f>EXP(-EXP(-(C435-Dataset!H$59)/Dataset!H$58))</f>
        <v>0.8840901913011564</v>
      </c>
      <c r="J435" s="86">
        <f t="shared" si="33"/>
        <v>2.4090191301156416E-2</v>
      </c>
    </row>
    <row r="436" spans="1:11" x14ac:dyDescent="0.3">
      <c r="A436" s="81">
        <v>1994</v>
      </c>
      <c r="B436" s="88">
        <v>33.383431650032001</v>
      </c>
      <c r="C436" s="53">
        <v>34.730890123376099</v>
      </c>
      <c r="D436" s="53">
        <v>44</v>
      </c>
      <c r="E436" s="86">
        <f t="shared" si="34"/>
        <v>1.2316878951740202</v>
      </c>
      <c r="F436" s="86">
        <f t="shared" si="31"/>
        <v>0.88</v>
      </c>
      <c r="G436" s="86">
        <f>_xlfn.LOGNORM.DIST(C436,Dataset!H$62,Dataset!H$63,TRUE)</f>
        <v>0.88765622406721867</v>
      </c>
      <c r="H436" s="86">
        <f t="shared" si="32"/>
        <v>7.6562240672186643E-3</v>
      </c>
      <c r="I436" s="87">
        <f>EXP(-EXP(-(C436-Dataset!H$59)/Dataset!H$58))</f>
        <v>0.8907607608185083</v>
      </c>
      <c r="J436" s="86">
        <f t="shared" si="33"/>
        <v>1.0760760818508297E-2</v>
      </c>
    </row>
    <row r="437" spans="1:11" x14ac:dyDescent="0.3">
      <c r="A437" s="81">
        <v>1995</v>
      </c>
      <c r="B437" s="88">
        <v>34.730890123376099</v>
      </c>
      <c r="C437" s="53">
        <v>34.817867697369998</v>
      </c>
      <c r="D437" s="53">
        <v>45</v>
      </c>
      <c r="E437" s="86">
        <f t="shared" si="34"/>
        <v>1.259421174015336</v>
      </c>
      <c r="F437" s="86">
        <f t="shared" si="31"/>
        <v>0.9</v>
      </c>
      <c r="G437" s="86">
        <f>_xlfn.LOGNORM.DIST(C437,Dataset!H$62,Dataset!H$63,TRUE)</f>
        <v>0.89229740746638386</v>
      </c>
      <c r="H437" s="86">
        <f t="shared" si="32"/>
        <v>7.7025925336161594E-3</v>
      </c>
      <c r="I437" s="87">
        <f>EXP(-EXP(-(C437-Dataset!H$59)/Dataset!H$58))</f>
        <v>0.894368858652692</v>
      </c>
      <c r="J437" s="86">
        <f t="shared" si="33"/>
        <v>5.6311413473080218E-3</v>
      </c>
    </row>
    <row r="438" spans="1:11" x14ac:dyDescent="0.3">
      <c r="A438" s="81">
        <v>1996</v>
      </c>
      <c r="B438" s="88">
        <v>28.961910582067102</v>
      </c>
      <c r="C438" s="53">
        <v>34.983111095132898</v>
      </c>
      <c r="D438" s="53">
        <v>46</v>
      </c>
      <c r="E438" s="86">
        <f t="shared" si="34"/>
        <v>1.3121099421243017</v>
      </c>
      <c r="F438" s="86">
        <f t="shared" si="31"/>
        <v>0.92</v>
      </c>
      <c r="G438" s="86">
        <f>_xlfn.LOGNORM.DIST(C438,Dataset!H$62,Dataset!H$63,TRUE)</f>
        <v>0.9007016480962784</v>
      </c>
      <c r="H438" s="86">
        <f t="shared" si="32"/>
        <v>1.9298351903721644E-2</v>
      </c>
      <c r="I438" s="87">
        <f>EXP(-EXP(-(C438-Dataset!H$59)/Dataset!H$58))</f>
        <v>0.90091701788932199</v>
      </c>
      <c r="J438" s="86">
        <f t="shared" si="33"/>
        <v>1.9082982110678048E-2</v>
      </c>
    </row>
    <row r="439" spans="1:11" x14ac:dyDescent="0.3">
      <c r="A439" s="81">
        <v>1997</v>
      </c>
      <c r="B439" s="88">
        <v>27.943031530240098</v>
      </c>
      <c r="C439" s="53">
        <v>35.349616029735401</v>
      </c>
      <c r="D439" s="53">
        <v>47</v>
      </c>
      <c r="E439" s="86">
        <f t="shared" si="34"/>
        <v>1.4289720604993483</v>
      </c>
      <c r="F439" s="86">
        <f t="shared" si="31"/>
        <v>0.94</v>
      </c>
      <c r="G439" s="86">
        <f>_xlfn.LOGNORM.DIST(C439,Dataset!H$62,Dataset!H$63,TRUE)</f>
        <v>0.91749282497937379</v>
      </c>
      <c r="H439" s="86">
        <f t="shared" si="32"/>
        <v>2.2507175020626158E-2</v>
      </c>
      <c r="I439" s="87">
        <f>EXP(-EXP(-(C439-Dataset!H$59)/Dataset!H$58))</f>
        <v>0.91409710279381995</v>
      </c>
      <c r="J439" s="86">
        <f t="shared" si="33"/>
        <v>2.5902897206179998E-2</v>
      </c>
    </row>
    <row r="440" spans="1:11" x14ac:dyDescent="0.3">
      <c r="A440" s="81">
        <v>1998</v>
      </c>
      <c r="B440" s="88">
        <v>30.768190672382399</v>
      </c>
      <c r="C440" s="53">
        <v>35.589029754493602</v>
      </c>
      <c r="D440" s="53">
        <v>48</v>
      </c>
      <c r="E440" s="86">
        <f t="shared" si="34"/>
        <v>1.505310446157506</v>
      </c>
      <c r="F440" s="86">
        <f t="shared" si="31"/>
        <v>0.96</v>
      </c>
      <c r="G440" s="86">
        <f>_xlfn.LOGNORM.DIST(C440,Dataset!H$62,Dataset!H$63,TRUE)</f>
        <v>0.92716669638698257</v>
      </c>
      <c r="H440" s="86">
        <f t="shared" si="32"/>
        <v>3.2833303613017395E-2</v>
      </c>
      <c r="I440" s="87">
        <f>EXP(-EXP(-(C440-Dataset!H$59)/Dataset!H$58))</f>
        <v>0.92178693617306529</v>
      </c>
      <c r="J440" s="86">
        <f t="shared" si="33"/>
        <v>3.8213063826934679E-2</v>
      </c>
    </row>
    <row r="441" spans="1:11" x14ac:dyDescent="0.3">
      <c r="A441" s="81">
        <v>1999</v>
      </c>
      <c r="B441" s="88">
        <v>29.364888687569501</v>
      </c>
      <c r="C441" s="53">
        <v>35.645127532536797</v>
      </c>
      <c r="D441" s="53">
        <v>49</v>
      </c>
      <c r="E441" s="86">
        <f t="shared" si="34"/>
        <v>1.5231975318672006</v>
      </c>
      <c r="F441" s="86">
        <f t="shared" si="31"/>
        <v>0.98</v>
      </c>
      <c r="G441" s="86">
        <f>_xlfn.LOGNORM.DIST(C441,Dataset!H$62,Dataset!H$63,TRUE)</f>
        <v>0.92929378599567336</v>
      </c>
      <c r="H441" s="86">
        <f t="shared" si="32"/>
        <v>5.0706214004326622E-2</v>
      </c>
      <c r="I441" s="87">
        <f>EXP(-EXP(-(C441-Dataset!H$59)/Dataset!H$58))</f>
        <v>0.92349115785828229</v>
      </c>
      <c r="J441" s="86">
        <f t="shared" si="33"/>
        <v>5.6508842141717697E-2</v>
      </c>
    </row>
    <row r="442" spans="1:11" x14ac:dyDescent="0.3">
      <c r="A442" s="81">
        <v>2000</v>
      </c>
      <c r="B442" s="88">
        <v>31.7678406310594</v>
      </c>
      <c r="C442" s="53">
        <v>37.777551597294902</v>
      </c>
      <c r="D442" s="53">
        <v>50</v>
      </c>
      <c r="E442" s="86">
        <f t="shared" si="34"/>
        <v>2.2031326976838135</v>
      </c>
      <c r="F442" s="86">
        <f t="shared" si="31"/>
        <v>1</v>
      </c>
      <c r="G442" s="86">
        <f>_xlfn.LOGNORM.DIST(C442,Dataset!H$62,Dataset!H$63,TRUE)</f>
        <v>0.97951802414524902</v>
      </c>
      <c r="H442" s="86">
        <f t="shared" si="32"/>
        <v>2.0481975854750978E-2</v>
      </c>
      <c r="I442" s="87">
        <f>EXP(-EXP(-(C442-Dataset!H$59)/Dataset!H$58))</f>
        <v>0.9672704367423125</v>
      </c>
      <c r="J442" s="86">
        <f t="shared" si="33"/>
        <v>3.27295632576875E-2</v>
      </c>
    </row>
    <row r="444" spans="1:11" x14ac:dyDescent="0.3">
      <c r="A444" s="81" t="s">
        <v>12</v>
      </c>
      <c r="B444" s="53">
        <f>AVERAGE(C393:C442)</f>
        <v>30.868049899799939</v>
      </c>
      <c r="C444" s="80" t="s">
        <v>14</v>
      </c>
      <c r="D444" s="53">
        <v>50</v>
      </c>
      <c r="G444" s="91" t="s">
        <v>25</v>
      </c>
      <c r="H444" s="91">
        <f>MAX(H393:H442)</f>
        <v>0.13073679426566981</v>
      </c>
      <c r="I444" s="91" t="s">
        <v>25</v>
      </c>
      <c r="J444" s="91">
        <f>MAX(J393:J442)</f>
        <v>0.14619564490793058</v>
      </c>
    </row>
    <row r="445" spans="1:11" x14ac:dyDescent="0.3">
      <c r="A445" s="81" t="s">
        <v>13</v>
      </c>
      <c r="B445" s="53">
        <f>_xlfn.STDEV.S(C393:C442)</f>
        <v>3.1362167629571411</v>
      </c>
      <c r="C445" s="80" t="s">
        <v>15</v>
      </c>
      <c r="D445" s="53">
        <v>50</v>
      </c>
      <c r="G445" s="91" t="s">
        <v>23</v>
      </c>
      <c r="H445" s="91">
        <v>0.05</v>
      </c>
      <c r="I445" s="91" t="s">
        <v>23</v>
      </c>
      <c r="J445" s="91">
        <v>0.05</v>
      </c>
    </row>
    <row r="446" spans="1:11" x14ac:dyDescent="0.3">
      <c r="G446" s="91" t="s">
        <v>26</v>
      </c>
      <c r="H446" s="91">
        <v>0.19</v>
      </c>
      <c r="I446" s="91" t="s">
        <v>26</v>
      </c>
      <c r="J446" s="91">
        <v>0.19</v>
      </c>
    </row>
    <row r="447" spans="1:11" x14ac:dyDescent="0.3">
      <c r="G447" s="139" t="s">
        <v>32</v>
      </c>
      <c r="H447" s="139"/>
      <c r="I447" s="139"/>
      <c r="J447" s="139"/>
    </row>
    <row r="448" spans="1:11" x14ac:dyDescent="0.3">
      <c r="A448" s="141" t="s">
        <v>28</v>
      </c>
      <c r="B448" s="141"/>
      <c r="C448" s="141"/>
      <c r="D448" s="141"/>
      <c r="E448" s="141"/>
      <c r="F448" s="141"/>
      <c r="G448" s="141"/>
      <c r="H448" s="19"/>
      <c r="I448" s="19"/>
      <c r="J448" s="19"/>
      <c r="K448" s="19"/>
    </row>
    <row r="449" spans="1:34" x14ac:dyDescent="0.3">
      <c r="A449" s="138" t="s">
        <v>36</v>
      </c>
      <c r="B449" s="138"/>
      <c r="C449" s="138"/>
      <c r="E449" s="140" t="s">
        <v>37</v>
      </c>
      <c r="F449" s="140"/>
      <c r="G449" s="140"/>
      <c r="L449" s="21"/>
    </row>
    <row r="450" spans="1:34" x14ac:dyDescent="0.3">
      <c r="A450" s="88" t="s">
        <v>29</v>
      </c>
      <c r="B450" s="53"/>
      <c r="C450" s="53" cm="1">
        <f t="array" ref="C450">-(SUM(LN(B393:B442)))-((50/2)*LN(Dataset!H$63^2))-((50/2)*LN(2*PI()))-((1/(2*Dataset!H$63^2))*SUM((LN(B393:B442)-Dataset!H$62)^2))</f>
        <v>-127.58993794905936</v>
      </c>
      <c r="E450" s="53" t="s">
        <v>29</v>
      </c>
      <c r="F450" s="53"/>
      <c r="G450" s="53" cm="1">
        <f t="array" ref="G450">-50*LN(Dataset!H$58) + 50*Dataset!H$59/Dataset!H$58 - SUM((B393:B442)/Dataset!H$58) -(EXP(Dataset!H$59/Dataset!H$58)*SUM(EXP(-(B393:B442)/Dataset!H$58)))</f>
        <v>-131.03024987646384</v>
      </c>
    </row>
    <row r="451" spans="1:34" x14ac:dyDescent="0.3">
      <c r="A451" s="90"/>
      <c r="B451" s="53"/>
      <c r="C451" s="53"/>
      <c r="E451" s="53"/>
      <c r="F451" s="53"/>
      <c r="G451" s="53"/>
    </row>
    <row r="452" spans="1:34" x14ac:dyDescent="0.3">
      <c r="A452" s="90" t="s">
        <v>30</v>
      </c>
      <c r="B452" s="53"/>
      <c r="C452" s="53">
        <f>-2*C450+2*2</f>
        <v>259.17987589811872</v>
      </c>
      <c r="E452" s="53" t="s">
        <v>30</v>
      </c>
      <c r="F452" s="53"/>
      <c r="G452" s="53">
        <f>-2*G450+2*2</f>
        <v>266.06049975292768</v>
      </c>
      <c r="L452" s="21"/>
    </row>
    <row r="453" spans="1:34" x14ac:dyDescent="0.3">
      <c r="A453" s="90" t="s">
        <v>31</v>
      </c>
      <c r="B453" s="53"/>
      <c r="C453" s="53">
        <f>-2*C450+2*LN(50)</f>
        <v>263.00392190897503</v>
      </c>
      <c r="E453" s="53" t="s">
        <v>31</v>
      </c>
      <c r="F453" s="53"/>
      <c r="G453" s="53">
        <f>-2*G450+2*LN(50)</f>
        <v>269.88454576378399</v>
      </c>
    </row>
    <row r="454" spans="1:34" x14ac:dyDescent="0.3">
      <c r="A454" s="2" t="s">
        <v>48</v>
      </c>
    </row>
    <row r="456" spans="1:34" x14ac:dyDescent="0.3">
      <c r="A456" s="136" t="s">
        <v>45</v>
      </c>
      <c r="B456" s="136"/>
      <c r="C456" s="136"/>
      <c r="D456" s="136"/>
      <c r="E456" s="136"/>
      <c r="F456" s="136"/>
      <c r="G456" s="136"/>
      <c r="H456" s="136"/>
      <c r="I456" s="136"/>
      <c r="J456" s="136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57.6" x14ac:dyDescent="0.3">
      <c r="A457" s="81" t="s">
        <v>49</v>
      </c>
      <c r="B457" s="80" t="s">
        <v>27</v>
      </c>
      <c r="C457" s="80" t="s">
        <v>11</v>
      </c>
      <c r="D457" s="82" t="s">
        <v>16</v>
      </c>
      <c r="E457" s="83" t="s">
        <v>17</v>
      </c>
      <c r="F457" s="83" t="s">
        <v>18</v>
      </c>
      <c r="G457" s="82" t="s">
        <v>19</v>
      </c>
      <c r="H457" s="82" t="s">
        <v>20</v>
      </c>
      <c r="I457" s="82" t="s">
        <v>21</v>
      </c>
      <c r="J457" s="82" t="s">
        <v>22</v>
      </c>
    </row>
    <row r="458" spans="1:34" x14ac:dyDescent="0.3">
      <c r="A458" s="81">
        <v>1951</v>
      </c>
      <c r="B458" s="88" cm="1">
        <f t="array" ref="B458:B507">Dataset!I$2:I$51</f>
        <v>43.310879981425302</v>
      </c>
      <c r="C458" s="53">
        <v>36.962335621507997</v>
      </c>
      <c r="D458" s="53">
        <v>1</v>
      </c>
      <c r="E458" s="86">
        <f t="shared" ref="E458:E489" si="35">(C458-B$509)/B$510</f>
        <v>-1.6988621602273275</v>
      </c>
      <c r="F458" s="86">
        <f>D458/50</f>
        <v>0.02</v>
      </c>
      <c r="G458" s="86">
        <f>_xlfn.LOGNORM.DIST(C458,Dataset!I$62,Dataset!I$63,TRUE)</f>
        <v>3.3607071490148403E-2</v>
      </c>
      <c r="H458" s="86">
        <f>ABS(G458-F458)</f>
        <v>1.3607071490148403E-2</v>
      </c>
      <c r="I458" s="87">
        <f>EXP(-EXP(-(C458-Dataset!I$59)/Dataset!I$58))</f>
        <v>7.002036679210173E-3</v>
      </c>
      <c r="J458" s="86">
        <f>ABS(I458-F458)</f>
        <v>1.2997963320789827E-2</v>
      </c>
    </row>
    <row r="459" spans="1:34" x14ac:dyDescent="0.3">
      <c r="A459" s="81">
        <v>1952</v>
      </c>
      <c r="B459" s="88">
        <v>40.755528679655498</v>
      </c>
      <c r="C459" s="53">
        <v>37.815701123843198</v>
      </c>
      <c r="D459" s="53">
        <v>2</v>
      </c>
      <c r="E459" s="86">
        <f t="shared" si="35"/>
        <v>-1.5266257782614301</v>
      </c>
      <c r="F459" s="86">
        <f t="shared" ref="F459:F507" si="36">D459/50</f>
        <v>0.04</v>
      </c>
      <c r="G459" s="86">
        <f>_xlfn.LOGNORM.DIST(C459,Dataset!I$62,Dataset!I$63,TRUE)</f>
        <v>5.2555598784611857E-2</v>
      </c>
      <c r="H459" s="86">
        <f t="shared" ref="H459:H507" si="37">ABS(G459-F459)</f>
        <v>1.2555598784611856E-2</v>
      </c>
      <c r="I459" s="87">
        <f>EXP(-EXP(-(C459-Dataset!I$59)/Dataset!I$58))</f>
        <v>1.8720538741831379E-2</v>
      </c>
      <c r="J459" s="86">
        <f t="shared" ref="J459:J507" si="38">ABS(I459-F459)</f>
        <v>2.1279461258168621E-2</v>
      </c>
    </row>
    <row r="460" spans="1:34" x14ac:dyDescent="0.3">
      <c r="A460" s="81">
        <v>1953</v>
      </c>
      <c r="B460" s="88">
        <v>41.722987296485599</v>
      </c>
      <c r="C460" s="53">
        <v>38.155846269982199</v>
      </c>
      <c r="D460" s="53">
        <v>3</v>
      </c>
      <c r="E460" s="86">
        <f t="shared" si="35"/>
        <v>-1.4579736366481044</v>
      </c>
      <c r="F460" s="86">
        <f t="shared" si="36"/>
        <v>0.06</v>
      </c>
      <c r="G460" s="86">
        <f>_xlfn.LOGNORM.DIST(C460,Dataset!I$62,Dataset!I$63,TRUE)</f>
        <v>6.1987054953774587E-2</v>
      </c>
      <c r="H460" s="86">
        <f t="shared" si="37"/>
        <v>1.9870549537745891E-3</v>
      </c>
      <c r="I460" s="87">
        <f>EXP(-EXP(-(C460-Dataset!I$59)/Dataset!I$58))</f>
        <v>2.6178110683180225E-2</v>
      </c>
      <c r="J460" s="86">
        <f t="shared" si="38"/>
        <v>3.3821889316819773E-2</v>
      </c>
    </row>
    <row r="461" spans="1:34" x14ac:dyDescent="0.3">
      <c r="A461" s="81">
        <v>1954</v>
      </c>
      <c r="B461" s="88">
        <v>43.454710158281401</v>
      </c>
      <c r="C461" s="53">
        <v>38.451838493504397</v>
      </c>
      <c r="D461" s="53">
        <v>4</v>
      </c>
      <c r="E461" s="86">
        <f t="shared" si="35"/>
        <v>-1.3982329633609865</v>
      </c>
      <c r="F461" s="86">
        <f t="shared" si="36"/>
        <v>0.08</v>
      </c>
      <c r="G461" s="86">
        <f>_xlfn.LOGNORM.DIST(C461,Dataset!I$62,Dataset!I$63,TRUE)</f>
        <v>7.1144795223935811E-2</v>
      </c>
      <c r="H461" s="86">
        <f t="shared" si="37"/>
        <v>8.8552047760641905E-3</v>
      </c>
      <c r="I461" s="87">
        <f>EXP(-EXP(-(C461-Dataset!I$59)/Dataset!I$58))</f>
        <v>3.4247684232864631E-2</v>
      </c>
      <c r="J461" s="86">
        <f t="shared" si="38"/>
        <v>4.5752315767135371E-2</v>
      </c>
    </row>
    <row r="462" spans="1:34" x14ac:dyDescent="0.3">
      <c r="A462" s="81">
        <v>1955</v>
      </c>
      <c r="B462" s="88">
        <v>48.458211608351803</v>
      </c>
      <c r="C462" s="53">
        <v>38.472817283439902</v>
      </c>
      <c r="D462" s="53">
        <v>5</v>
      </c>
      <c r="E462" s="86">
        <f t="shared" si="35"/>
        <v>-1.3939987742982387</v>
      </c>
      <c r="F462" s="86">
        <f t="shared" si="36"/>
        <v>0.1</v>
      </c>
      <c r="G462" s="86">
        <f>_xlfn.LOGNORM.DIST(C462,Dataset!I$62,Dataset!I$63,TRUE)</f>
        <v>7.1828495387659771E-2</v>
      </c>
      <c r="H462" s="86">
        <f t="shared" si="37"/>
        <v>2.8171504612340234E-2</v>
      </c>
      <c r="I462" s="87">
        <f>EXP(-EXP(-(C462-Dataset!I$59)/Dataset!I$58))</f>
        <v>3.4879284836583459E-2</v>
      </c>
      <c r="J462" s="86">
        <f t="shared" si="38"/>
        <v>6.5120715163416554E-2</v>
      </c>
    </row>
    <row r="463" spans="1:34" x14ac:dyDescent="0.3">
      <c r="A463" s="81">
        <v>1956</v>
      </c>
      <c r="B463" s="88">
        <v>39.806931838184603</v>
      </c>
      <c r="C463" s="53">
        <v>38.7093332375374</v>
      </c>
      <c r="D463" s="53">
        <v>6</v>
      </c>
      <c r="E463" s="86">
        <f t="shared" si="35"/>
        <v>-1.3462623095601034</v>
      </c>
      <c r="F463" s="86">
        <f t="shared" si="36"/>
        <v>0.12</v>
      </c>
      <c r="G463" s="86">
        <f>_xlfn.LOGNORM.DIST(C463,Dataset!I$62,Dataset!I$63,TRUE)</f>
        <v>7.9861047889134812E-2</v>
      </c>
      <c r="H463" s="86">
        <f t="shared" si="37"/>
        <v>4.0138952110865184E-2</v>
      </c>
      <c r="I463" s="87">
        <f>EXP(-EXP(-(C463-Dataset!I$59)/Dataset!I$58))</f>
        <v>4.2571900212257541E-2</v>
      </c>
      <c r="J463" s="86">
        <f t="shared" si="38"/>
        <v>7.7428099787742455E-2</v>
      </c>
    </row>
    <row r="464" spans="1:34" x14ac:dyDescent="0.3">
      <c r="A464" s="81">
        <v>1957</v>
      </c>
      <c r="B464" s="88">
        <v>53.268350654030201</v>
      </c>
      <c r="C464" s="53">
        <v>38.7794185787385</v>
      </c>
      <c r="D464" s="53">
        <v>7</v>
      </c>
      <c r="E464" s="86">
        <f t="shared" si="35"/>
        <v>-1.3321168518818982</v>
      </c>
      <c r="F464" s="86">
        <f t="shared" si="36"/>
        <v>0.14000000000000001</v>
      </c>
      <c r="G464" s="86">
        <f>_xlfn.LOGNORM.DIST(C464,Dataset!I$62,Dataset!I$63,TRUE)</f>
        <v>8.2357142755201035E-2</v>
      </c>
      <c r="H464" s="86">
        <f t="shared" si="37"/>
        <v>5.7642857244798978E-2</v>
      </c>
      <c r="I464" s="87">
        <f>EXP(-EXP(-(C464-Dataset!I$59)/Dataset!I$58))</f>
        <v>4.5057809603667572E-2</v>
      </c>
      <c r="J464" s="86">
        <f t="shared" si="38"/>
        <v>9.4942190396332449E-2</v>
      </c>
      <c r="S464" s="1"/>
    </row>
    <row r="465" spans="1:10" x14ac:dyDescent="0.3">
      <c r="A465" s="81">
        <v>1958</v>
      </c>
      <c r="B465" s="88">
        <v>45.362530448339101</v>
      </c>
      <c r="C465" s="53">
        <v>39.295734540367498</v>
      </c>
      <c r="D465" s="53">
        <v>8</v>
      </c>
      <c r="E465" s="86">
        <f t="shared" si="35"/>
        <v>-1.2279078195986941</v>
      </c>
      <c r="F465" s="86">
        <f t="shared" si="36"/>
        <v>0.16</v>
      </c>
      <c r="G465" s="86">
        <f>_xlfn.LOGNORM.DIST(C465,Dataset!I$62,Dataset!I$63,TRUE)</f>
        <v>0.10241870561354008</v>
      </c>
      <c r="H465" s="86">
        <f t="shared" si="37"/>
        <v>5.7581294386459925E-2</v>
      </c>
      <c r="I465" s="87">
        <f>EXP(-EXP(-(C465-Dataset!I$59)/Dataset!I$58))</f>
        <v>6.6404197961351913E-2</v>
      </c>
      <c r="J465" s="86">
        <f t="shared" si="38"/>
        <v>9.359580203864809E-2</v>
      </c>
    </row>
    <row r="466" spans="1:10" x14ac:dyDescent="0.3">
      <c r="A466" s="81">
        <v>1959</v>
      </c>
      <c r="B466" s="88">
        <v>39.295734540367498</v>
      </c>
      <c r="C466" s="53">
        <v>39.806931838184603</v>
      </c>
      <c r="D466" s="53">
        <v>9</v>
      </c>
      <c r="E466" s="86">
        <f t="shared" si="35"/>
        <v>-1.1247318969655142</v>
      </c>
      <c r="F466" s="86">
        <f t="shared" si="36"/>
        <v>0.18</v>
      </c>
      <c r="G466" s="86">
        <f>_xlfn.LOGNORM.DIST(C466,Dataset!I$62,Dataset!I$63,TRUE)</f>
        <v>0.1252457196482224</v>
      </c>
      <c r="H466" s="86">
        <f t="shared" si="37"/>
        <v>5.4754280351777596E-2</v>
      </c>
      <c r="I466" s="87">
        <f>EXP(-EXP(-(C466-Dataset!I$59)/Dataset!I$58))</f>
        <v>9.2935825916640208E-2</v>
      </c>
      <c r="J466" s="86">
        <f t="shared" si="38"/>
        <v>8.7064174083359785E-2</v>
      </c>
    </row>
    <row r="467" spans="1:10" x14ac:dyDescent="0.3">
      <c r="A467" s="81">
        <v>1960</v>
      </c>
      <c r="B467" s="88">
        <v>52.7774816557828</v>
      </c>
      <c r="C467" s="53">
        <v>40.755528679655498</v>
      </c>
      <c r="D467" s="53">
        <v>10</v>
      </c>
      <c r="E467" s="86">
        <f t="shared" si="35"/>
        <v>-0.933274792744481</v>
      </c>
      <c r="F467" s="86">
        <f t="shared" si="36"/>
        <v>0.2</v>
      </c>
      <c r="G467" s="86">
        <f>_xlfn.LOGNORM.DIST(C467,Dataset!I$62,Dataset!I$63,TRUE)</f>
        <v>0.17545735936102064</v>
      </c>
      <c r="H467" s="86">
        <f t="shared" si="37"/>
        <v>2.4542640638979374E-2</v>
      </c>
      <c r="I467" s="87">
        <f>EXP(-EXP(-(C467-Dataset!I$59)/Dataset!I$58))</f>
        <v>0.15589886661043448</v>
      </c>
      <c r="J467" s="86">
        <f t="shared" si="38"/>
        <v>4.4101133389565533E-2</v>
      </c>
    </row>
    <row r="468" spans="1:10" x14ac:dyDescent="0.3">
      <c r="A468" s="81">
        <v>1961</v>
      </c>
      <c r="B468" s="88">
        <v>53.212208888987298</v>
      </c>
      <c r="C468" s="53">
        <v>41.422924037025901</v>
      </c>
      <c r="D468" s="53">
        <v>11</v>
      </c>
      <c r="E468" s="86">
        <f t="shared" si="35"/>
        <v>-0.79857311874927062</v>
      </c>
      <c r="F468" s="86">
        <f t="shared" si="36"/>
        <v>0.22</v>
      </c>
      <c r="G468" s="86">
        <f>_xlfn.LOGNORM.DIST(C468,Dataset!I$62,Dataset!I$63,TRUE)</f>
        <v>0.21663599384477578</v>
      </c>
      <c r="H468" s="86">
        <f t="shared" si="37"/>
        <v>3.3640061552242251E-3</v>
      </c>
      <c r="I468" s="87">
        <f>EXP(-EXP(-(C468-Dataset!I$59)/Dataset!I$58))</f>
        <v>0.20936801326147494</v>
      </c>
      <c r="J468" s="86">
        <f t="shared" si="38"/>
        <v>1.0631986738525057E-2</v>
      </c>
    </row>
    <row r="469" spans="1:10" x14ac:dyDescent="0.3">
      <c r="A469" s="81">
        <v>1962</v>
      </c>
      <c r="B469" s="88">
        <v>49.878744317510197</v>
      </c>
      <c r="C469" s="53">
        <v>41.593244107448101</v>
      </c>
      <c r="D469" s="53">
        <v>12</v>
      </c>
      <c r="E469" s="86">
        <f t="shared" si="35"/>
        <v>-0.76419709508130929</v>
      </c>
      <c r="F469" s="86">
        <f t="shared" si="36"/>
        <v>0.24</v>
      </c>
      <c r="G469" s="86">
        <f>_xlfn.LOGNORM.DIST(C469,Dataset!I$62,Dataset!I$63,TRUE)</f>
        <v>0.22786060838965472</v>
      </c>
      <c r="H469" s="86">
        <f t="shared" si="37"/>
        <v>1.2139391610345274E-2</v>
      </c>
      <c r="I469" s="87">
        <f>EXP(-EXP(-(C469-Dataset!I$59)/Dataset!I$58))</f>
        <v>0.22397566759513707</v>
      </c>
      <c r="J469" s="86">
        <f t="shared" si="38"/>
        <v>1.6024332404862923E-2</v>
      </c>
    </row>
    <row r="470" spans="1:10" x14ac:dyDescent="0.3">
      <c r="A470" s="81">
        <v>1963</v>
      </c>
      <c r="B470" s="88">
        <v>48.6395613648913</v>
      </c>
      <c r="C470" s="53">
        <v>41.722987296485599</v>
      </c>
      <c r="D470" s="53">
        <v>13</v>
      </c>
      <c r="E470" s="86">
        <f t="shared" si="35"/>
        <v>-0.73801078053802638</v>
      </c>
      <c r="F470" s="86">
        <f t="shared" si="36"/>
        <v>0.26</v>
      </c>
      <c r="G470" s="86">
        <f>_xlfn.LOGNORM.DIST(C470,Dataset!I$62,Dataset!I$63,TRUE)</f>
        <v>0.23659432192560981</v>
      </c>
      <c r="H470" s="86">
        <f t="shared" si="37"/>
        <v>2.3405678074390202E-2</v>
      </c>
      <c r="I470" s="87">
        <f>EXP(-EXP(-(C470-Dataset!I$59)/Dataset!I$58))</f>
        <v>0.23532199622685934</v>
      </c>
      <c r="J470" s="86">
        <f t="shared" si="38"/>
        <v>2.4678003773140667E-2</v>
      </c>
    </row>
    <row r="471" spans="1:10" x14ac:dyDescent="0.3">
      <c r="A471" s="81">
        <v>1964</v>
      </c>
      <c r="B471" s="88">
        <v>54.415162433831902</v>
      </c>
      <c r="C471" s="53">
        <v>41.813560273094303</v>
      </c>
      <c r="D471" s="53">
        <v>14</v>
      </c>
      <c r="E471" s="86">
        <f t="shared" si="35"/>
        <v>-0.71973026444934396</v>
      </c>
      <c r="F471" s="86">
        <f t="shared" si="36"/>
        <v>0.28000000000000003</v>
      </c>
      <c r="G471" s="86">
        <f>_xlfn.LOGNORM.DIST(C471,Dataset!I$62,Dataset!I$63,TRUE)</f>
        <v>0.24278233476606187</v>
      </c>
      <c r="H471" s="86">
        <f t="shared" si="37"/>
        <v>3.7217665233938158E-2</v>
      </c>
      <c r="I471" s="87">
        <f>EXP(-EXP(-(C471-Dataset!I$59)/Dataset!I$58))</f>
        <v>0.24334546128689602</v>
      </c>
      <c r="J471" s="86">
        <f t="shared" si="38"/>
        <v>3.6654538713104007E-2</v>
      </c>
    </row>
    <row r="472" spans="1:10" x14ac:dyDescent="0.3">
      <c r="A472" s="81">
        <v>1965</v>
      </c>
      <c r="B472" s="88">
        <v>47.500734835655798</v>
      </c>
      <c r="C472" s="53">
        <v>42.132269669471697</v>
      </c>
      <c r="D472" s="53">
        <v>15</v>
      </c>
      <c r="E472" s="86">
        <f t="shared" si="35"/>
        <v>-0.65540454096935352</v>
      </c>
      <c r="F472" s="86">
        <f t="shared" si="36"/>
        <v>0.3</v>
      </c>
      <c r="G472" s="86">
        <f>_xlfn.LOGNORM.DIST(C472,Dataset!I$62,Dataset!I$63,TRUE)</f>
        <v>0.26512412538230956</v>
      </c>
      <c r="H472" s="86">
        <f t="shared" si="37"/>
        <v>3.4875874617690428E-2</v>
      </c>
      <c r="I472" s="87">
        <f>EXP(-EXP(-(C472-Dataset!I$59)/Dataset!I$58))</f>
        <v>0.27216283347873321</v>
      </c>
      <c r="J472" s="86">
        <f t="shared" si="38"/>
        <v>2.7837166521266776E-2</v>
      </c>
    </row>
    <row r="473" spans="1:10" x14ac:dyDescent="0.3">
      <c r="A473" s="81">
        <v>1966</v>
      </c>
      <c r="B473" s="88">
        <v>45.117747290026998</v>
      </c>
      <c r="C473" s="53">
        <v>42.251499949543899</v>
      </c>
      <c r="D473" s="53">
        <v>16</v>
      </c>
      <c r="E473" s="86">
        <f t="shared" si="35"/>
        <v>-0.6313400668322795</v>
      </c>
      <c r="F473" s="86">
        <f t="shared" si="36"/>
        <v>0.32</v>
      </c>
      <c r="G473" s="86">
        <f>_xlfn.LOGNORM.DIST(C473,Dataset!I$62,Dataset!I$63,TRUE)</f>
        <v>0.27369769974785801</v>
      </c>
      <c r="H473" s="86">
        <f t="shared" si="37"/>
        <v>4.6302300252141992E-2</v>
      </c>
      <c r="I473" s="87">
        <f>EXP(-EXP(-(C473-Dataset!I$59)/Dataset!I$58))</f>
        <v>0.28314317598487498</v>
      </c>
      <c r="J473" s="86">
        <f t="shared" si="38"/>
        <v>3.6856824015125023E-2</v>
      </c>
    </row>
    <row r="474" spans="1:10" x14ac:dyDescent="0.3">
      <c r="A474" s="81">
        <v>1967</v>
      </c>
      <c r="B474" s="88">
        <v>38.7093332375374</v>
      </c>
      <c r="C474" s="53">
        <v>42.490451741445398</v>
      </c>
      <c r="D474" s="53">
        <v>17</v>
      </c>
      <c r="E474" s="86">
        <f t="shared" si="35"/>
        <v>-0.58311197231854539</v>
      </c>
      <c r="F474" s="86">
        <f t="shared" si="36"/>
        <v>0.34</v>
      </c>
      <c r="G474" s="86">
        <f>_xlfn.LOGNORM.DIST(C474,Dataset!I$62,Dataset!I$63,TRUE)</f>
        <v>0.29120717306295818</v>
      </c>
      <c r="H474" s="86">
        <f t="shared" si="37"/>
        <v>4.8792826937041844E-2</v>
      </c>
      <c r="I474" s="87">
        <f>EXP(-EXP(-(C474-Dataset!I$59)/Dataset!I$58))</f>
        <v>0.30540477831166701</v>
      </c>
      <c r="J474" s="86">
        <f t="shared" si="38"/>
        <v>3.4595221688333011E-2</v>
      </c>
    </row>
    <row r="475" spans="1:10" x14ac:dyDescent="0.3">
      <c r="A475" s="81">
        <v>1968</v>
      </c>
      <c r="B475" s="88">
        <v>49.783938856342701</v>
      </c>
      <c r="C475" s="53">
        <v>43.193762802965203</v>
      </c>
      <c r="D475" s="53">
        <v>18</v>
      </c>
      <c r="E475" s="86">
        <f t="shared" si="35"/>
        <v>-0.44116136346304002</v>
      </c>
      <c r="F475" s="86">
        <f t="shared" si="36"/>
        <v>0.36</v>
      </c>
      <c r="G475" s="86">
        <f>_xlfn.LOGNORM.DIST(C475,Dataset!I$62,Dataset!I$63,TRUE)</f>
        <v>0.34492686094750263</v>
      </c>
      <c r="H475" s="86">
        <f t="shared" si="37"/>
        <v>1.5073139052497353E-2</v>
      </c>
      <c r="I475" s="87">
        <f>EXP(-EXP(-(C475-Dataset!I$59)/Dataset!I$58))</f>
        <v>0.37206479968819972</v>
      </c>
      <c r="J475" s="86">
        <f t="shared" si="38"/>
        <v>1.2064799688199734E-2</v>
      </c>
    </row>
    <row r="476" spans="1:10" x14ac:dyDescent="0.3">
      <c r="A476" s="81">
        <v>1969</v>
      </c>
      <c r="B476" s="88">
        <v>42.251499949543899</v>
      </c>
      <c r="C476" s="53">
        <v>43.310879981425302</v>
      </c>
      <c r="D476" s="53">
        <v>19</v>
      </c>
      <c r="E476" s="86">
        <f t="shared" si="35"/>
        <v>-0.41752338064228822</v>
      </c>
      <c r="F476" s="86">
        <f t="shared" si="36"/>
        <v>0.38</v>
      </c>
      <c r="G476" s="86">
        <f>_xlfn.LOGNORM.DIST(C476,Dataset!I$62,Dataset!I$63,TRUE)</f>
        <v>0.35413543450910379</v>
      </c>
      <c r="H476" s="86">
        <f t="shared" si="37"/>
        <v>2.5864565490896219E-2</v>
      </c>
      <c r="I476" s="87">
        <f>EXP(-EXP(-(C476-Dataset!I$59)/Dataset!I$58))</f>
        <v>0.38321367693945668</v>
      </c>
      <c r="J476" s="86">
        <f t="shared" si="38"/>
        <v>3.2136769394566778E-3</v>
      </c>
    </row>
    <row r="477" spans="1:10" x14ac:dyDescent="0.3">
      <c r="A477" s="81">
        <v>1970</v>
      </c>
      <c r="B477" s="88">
        <v>42.132269669471697</v>
      </c>
      <c r="C477" s="53">
        <v>43.454710158281401</v>
      </c>
      <c r="D477" s="53">
        <v>20</v>
      </c>
      <c r="E477" s="86">
        <f t="shared" si="35"/>
        <v>-0.38849386256191132</v>
      </c>
      <c r="F477" s="86">
        <f t="shared" si="36"/>
        <v>0.4</v>
      </c>
      <c r="G477" s="86">
        <f>_xlfn.LOGNORM.DIST(C477,Dataset!I$62,Dataset!I$63,TRUE)</f>
        <v>0.36552711024498574</v>
      </c>
      <c r="H477" s="86">
        <f t="shared" si="37"/>
        <v>3.447288975501428E-2</v>
      </c>
      <c r="I477" s="87">
        <f>EXP(-EXP(-(C477-Dataset!I$59)/Dataset!I$58))</f>
        <v>0.39688562977873848</v>
      </c>
      <c r="J477" s="86">
        <f t="shared" si="38"/>
        <v>3.1143702212615421E-3</v>
      </c>
    </row>
    <row r="478" spans="1:10" x14ac:dyDescent="0.3">
      <c r="A478" s="81">
        <v>1971</v>
      </c>
      <c r="B478" s="88">
        <v>36.962335621507997</v>
      </c>
      <c r="C478" s="53">
        <v>43.660563183932901</v>
      </c>
      <c r="D478" s="53">
        <v>21</v>
      </c>
      <c r="E478" s="86">
        <f t="shared" si="35"/>
        <v>-0.34694615497597636</v>
      </c>
      <c r="F478" s="86">
        <f t="shared" si="36"/>
        <v>0.42</v>
      </c>
      <c r="G478" s="86">
        <f>_xlfn.LOGNORM.DIST(C478,Dataset!I$62,Dataset!I$63,TRUE)</f>
        <v>0.38197060526999205</v>
      </c>
      <c r="H478" s="86">
        <f t="shared" si="37"/>
        <v>3.8029394730007937E-2</v>
      </c>
      <c r="I478" s="87">
        <f>EXP(-EXP(-(C478-Dataset!I$59)/Dataset!I$58))</f>
        <v>0.41638194817562574</v>
      </c>
      <c r="J478" s="86">
        <f t="shared" si="38"/>
        <v>3.6180518243742466E-3</v>
      </c>
    </row>
    <row r="479" spans="1:10" x14ac:dyDescent="0.3">
      <c r="A479" s="81">
        <v>1972</v>
      </c>
      <c r="B479" s="88">
        <v>49.770096979574397</v>
      </c>
      <c r="C479" s="53">
        <v>44.142775598984699</v>
      </c>
      <c r="D479" s="53">
        <v>22</v>
      </c>
      <c r="E479" s="86">
        <f t="shared" si="35"/>
        <v>-0.24962030634454721</v>
      </c>
      <c r="F479" s="86">
        <f t="shared" si="36"/>
        <v>0.44</v>
      </c>
      <c r="G479" s="86">
        <f>_xlfn.LOGNORM.DIST(C479,Dataset!I$62,Dataset!I$63,TRUE)</f>
        <v>0.42097204342940231</v>
      </c>
      <c r="H479" s="86">
        <f t="shared" si="37"/>
        <v>1.9027956570597693E-2</v>
      </c>
      <c r="I479" s="87">
        <f>EXP(-EXP(-(C479-Dataset!I$59)/Dataset!I$58))</f>
        <v>0.46147154687772529</v>
      </c>
      <c r="J479" s="86">
        <f t="shared" si="38"/>
        <v>2.1471546877725289E-2</v>
      </c>
    </row>
    <row r="480" spans="1:10" x14ac:dyDescent="0.3">
      <c r="A480" s="81">
        <v>1973</v>
      </c>
      <c r="B480" s="88">
        <v>44.727336040213999</v>
      </c>
      <c r="C480" s="53">
        <v>44.413764584680699</v>
      </c>
      <c r="D480" s="53">
        <v>23</v>
      </c>
      <c r="E480" s="86">
        <f t="shared" si="35"/>
        <v>-0.19492608409023129</v>
      </c>
      <c r="F480" s="86">
        <f t="shared" si="36"/>
        <v>0.46</v>
      </c>
      <c r="G480" s="86">
        <f>_xlfn.LOGNORM.DIST(C480,Dataset!I$62,Dataset!I$63,TRUE)</f>
        <v>0.44307157712142703</v>
      </c>
      <c r="H480" s="86">
        <f t="shared" si="37"/>
        <v>1.6928422878572991E-2</v>
      </c>
      <c r="I480" s="87">
        <f>EXP(-EXP(-(C480-Dataset!I$59)/Dataset!I$58))</f>
        <v>0.48629254356894736</v>
      </c>
      <c r="J480" s="86">
        <f t="shared" si="38"/>
        <v>2.6292543568947335E-2</v>
      </c>
    </row>
    <row r="481" spans="1:10" x14ac:dyDescent="0.3">
      <c r="A481" s="81">
        <v>1974</v>
      </c>
      <c r="B481" s="88">
        <v>45.942356345193197</v>
      </c>
      <c r="C481" s="53">
        <v>44.727336040213999</v>
      </c>
      <c r="D481" s="53">
        <v>24</v>
      </c>
      <c r="E481" s="86">
        <f t="shared" si="35"/>
        <v>-0.13163736098032833</v>
      </c>
      <c r="F481" s="86">
        <f t="shared" si="36"/>
        <v>0.48</v>
      </c>
      <c r="G481" s="86">
        <f>_xlfn.LOGNORM.DIST(C481,Dataset!I$62,Dataset!I$63,TRUE)</f>
        <v>0.4686924734438645</v>
      </c>
      <c r="H481" s="86">
        <f t="shared" si="37"/>
        <v>1.1307526556135483E-2</v>
      </c>
      <c r="I481" s="87">
        <f>EXP(-EXP(-(C481-Dataset!I$59)/Dataset!I$58))</f>
        <v>0.51440925633845846</v>
      </c>
      <c r="J481" s="86">
        <f t="shared" si="38"/>
        <v>3.4409256338458483E-2</v>
      </c>
    </row>
    <row r="482" spans="1:10" x14ac:dyDescent="0.3">
      <c r="A482" s="81">
        <v>1975</v>
      </c>
      <c r="B482" s="88">
        <v>46.9593113626714</v>
      </c>
      <c r="C482" s="53">
        <v>45.117747290026998</v>
      </c>
      <c r="D482" s="53">
        <v>25</v>
      </c>
      <c r="E482" s="86">
        <f t="shared" si="35"/>
        <v>-5.2839916084129447E-2</v>
      </c>
      <c r="F482" s="86">
        <f t="shared" si="36"/>
        <v>0.5</v>
      </c>
      <c r="G482" s="86">
        <f>_xlfn.LOGNORM.DIST(C482,Dataset!I$62,Dataset!I$63,TRUE)</f>
        <v>0.50051021318958089</v>
      </c>
      <c r="H482" s="86">
        <f t="shared" si="37"/>
        <v>5.1021318958088813E-4</v>
      </c>
      <c r="I482" s="87">
        <f>EXP(-EXP(-(C482-Dataset!I$59)/Dataset!I$58))</f>
        <v>0.54835155719269102</v>
      </c>
      <c r="J482" s="86">
        <f t="shared" si="38"/>
        <v>4.8351557192691019E-2</v>
      </c>
    </row>
    <row r="483" spans="1:10" x14ac:dyDescent="0.3">
      <c r="A483" s="81">
        <v>1976</v>
      </c>
      <c r="B483" s="88">
        <v>41.593244107448101</v>
      </c>
      <c r="C483" s="53">
        <v>45.362530448339101</v>
      </c>
      <c r="D483" s="53">
        <v>26</v>
      </c>
      <c r="E483" s="86">
        <f t="shared" si="35"/>
        <v>-3.4348657997069227E-3</v>
      </c>
      <c r="F483" s="86">
        <f t="shared" si="36"/>
        <v>0.52</v>
      </c>
      <c r="G483" s="86">
        <f>_xlfn.LOGNORM.DIST(C483,Dataset!I$62,Dataset!I$63,TRUE)</f>
        <v>0.52033066960365337</v>
      </c>
      <c r="H483" s="86">
        <f t="shared" si="37"/>
        <v>3.3066960365335518E-4</v>
      </c>
      <c r="I483" s="87">
        <f>EXP(-EXP(-(C483-Dataset!I$59)/Dataset!I$58))</f>
        <v>0.5689587917137946</v>
      </c>
      <c r="J483" s="86">
        <f t="shared" si="38"/>
        <v>4.8958791713794581E-2</v>
      </c>
    </row>
    <row r="484" spans="1:10" x14ac:dyDescent="0.3">
      <c r="A484" s="81">
        <v>1977</v>
      </c>
      <c r="B484" s="88">
        <v>38.472817283439902</v>
      </c>
      <c r="C484" s="53">
        <v>45.626532406206998</v>
      </c>
      <c r="D484" s="53">
        <v>27</v>
      </c>
      <c r="E484" s="86">
        <f t="shared" si="35"/>
        <v>4.9849151342597313E-2</v>
      </c>
      <c r="F484" s="86">
        <f t="shared" si="36"/>
        <v>0.54</v>
      </c>
      <c r="G484" s="86">
        <f>_xlfn.LOGNORM.DIST(C484,Dataset!I$62,Dataset!I$63,TRUE)</f>
        <v>0.5415307318459317</v>
      </c>
      <c r="H484" s="86">
        <f t="shared" si="37"/>
        <v>1.5307318459316654E-3</v>
      </c>
      <c r="I484" s="87">
        <f>EXP(-EXP(-(C484-Dataset!I$59)/Dataset!I$58))</f>
        <v>0.59055404249481436</v>
      </c>
      <c r="J484" s="86">
        <f t="shared" si="38"/>
        <v>5.0554042494814322E-2</v>
      </c>
    </row>
    <row r="485" spans="1:10" x14ac:dyDescent="0.3">
      <c r="A485" s="81">
        <v>1978</v>
      </c>
      <c r="B485" s="88">
        <v>49.7117686192043</v>
      </c>
      <c r="C485" s="53">
        <v>45.942356345193197</v>
      </c>
      <c r="D485" s="53">
        <v>28</v>
      </c>
      <c r="E485" s="86">
        <f t="shared" si="35"/>
        <v>0.1135924974707777</v>
      </c>
      <c r="F485" s="86">
        <f t="shared" si="36"/>
        <v>0.56000000000000005</v>
      </c>
      <c r="G485" s="86">
        <f>_xlfn.LOGNORM.DIST(C485,Dataset!I$62,Dataset!I$63,TRUE)</f>
        <v>0.56657397599129078</v>
      </c>
      <c r="H485" s="86">
        <f t="shared" si="37"/>
        <v>6.5739759912907259E-3</v>
      </c>
      <c r="I485" s="87">
        <f>EXP(-EXP(-(C485-Dataset!I$59)/Dataset!I$58))</f>
        <v>0.61548352062400424</v>
      </c>
      <c r="J485" s="86">
        <f t="shared" si="38"/>
        <v>5.548352062400419E-2</v>
      </c>
    </row>
    <row r="486" spans="1:10" x14ac:dyDescent="0.3">
      <c r="A486" s="81">
        <v>1979</v>
      </c>
      <c r="B486" s="88">
        <v>42.490451741445398</v>
      </c>
      <c r="C486" s="53">
        <v>45.9858787851146</v>
      </c>
      <c r="D486" s="53">
        <v>29</v>
      </c>
      <c r="E486" s="86">
        <f t="shared" si="35"/>
        <v>0.12237671427574318</v>
      </c>
      <c r="F486" s="86">
        <f t="shared" si="36"/>
        <v>0.57999999999999996</v>
      </c>
      <c r="G486" s="86">
        <f>_xlfn.LOGNORM.DIST(C486,Dataset!I$62,Dataset!I$63,TRUE)</f>
        <v>0.56999311143250708</v>
      </c>
      <c r="H486" s="86">
        <f t="shared" si="37"/>
        <v>1.0006888567492878E-2</v>
      </c>
      <c r="I486" s="87">
        <f>EXP(-EXP(-(C486-Dataset!I$59)/Dataset!I$58))</f>
        <v>0.61883928884199668</v>
      </c>
      <c r="J486" s="86">
        <f t="shared" si="38"/>
        <v>3.8839288841996722E-2</v>
      </c>
    </row>
    <row r="487" spans="1:10" x14ac:dyDescent="0.3">
      <c r="A487" s="81">
        <v>1980</v>
      </c>
      <c r="B487" s="88">
        <v>38.7794185787385</v>
      </c>
      <c r="C487" s="53">
        <v>46.586857408159098</v>
      </c>
      <c r="D487" s="53">
        <v>30</v>
      </c>
      <c r="E487" s="86">
        <f t="shared" si="35"/>
        <v>0.24367337249403184</v>
      </c>
      <c r="F487" s="86">
        <f t="shared" si="36"/>
        <v>0.6</v>
      </c>
      <c r="G487" s="86">
        <f>_xlfn.LOGNORM.DIST(C487,Dataset!I$62,Dataset!I$63,TRUE)</f>
        <v>0.61624434011055551</v>
      </c>
      <c r="H487" s="86">
        <f t="shared" si="37"/>
        <v>1.6244340110555533E-2</v>
      </c>
      <c r="I487" s="87">
        <f>EXP(-EXP(-(C487-Dataset!I$59)/Dataset!I$58))</f>
        <v>0.66314152650186575</v>
      </c>
      <c r="J487" s="86">
        <f t="shared" si="38"/>
        <v>6.3141526501865775E-2</v>
      </c>
    </row>
    <row r="488" spans="1:10" x14ac:dyDescent="0.3">
      <c r="A488" s="81">
        <v>1981</v>
      </c>
      <c r="B488" s="88">
        <v>45.9858787851146</v>
      </c>
      <c r="C488" s="53">
        <v>46.9593113626714</v>
      </c>
      <c r="D488" s="53">
        <v>31</v>
      </c>
      <c r="E488" s="86">
        <f t="shared" si="35"/>
        <v>0.31884646233483932</v>
      </c>
      <c r="F488" s="86">
        <f t="shared" si="36"/>
        <v>0.62</v>
      </c>
      <c r="G488" s="86">
        <f>_xlfn.LOGNORM.DIST(C488,Dataset!I$62,Dataset!I$63,TRUE)</f>
        <v>0.64385494927891163</v>
      </c>
      <c r="H488" s="86">
        <f t="shared" si="37"/>
        <v>2.385494927891163E-2</v>
      </c>
      <c r="I488" s="87">
        <f>EXP(-EXP(-(C488-Dataset!I$59)/Dataset!I$58))</f>
        <v>0.68865696463821535</v>
      </c>
      <c r="J488" s="86">
        <f t="shared" si="38"/>
        <v>6.8656964638215356E-2</v>
      </c>
    </row>
    <row r="489" spans="1:10" x14ac:dyDescent="0.3">
      <c r="A489" s="81">
        <v>1982</v>
      </c>
      <c r="B489" s="88">
        <v>53.055438251475401</v>
      </c>
      <c r="C489" s="53">
        <v>47.139083033292302</v>
      </c>
      <c r="D489" s="53">
        <v>32</v>
      </c>
      <c r="E489" s="86">
        <f t="shared" si="35"/>
        <v>0.35513012044262487</v>
      </c>
      <c r="F489" s="86">
        <f t="shared" si="36"/>
        <v>0.64</v>
      </c>
      <c r="G489" s="86">
        <f>_xlfn.LOGNORM.DIST(C489,Dataset!I$62,Dataset!I$63,TRUE)</f>
        <v>0.6568503225083282</v>
      </c>
      <c r="H489" s="86">
        <f t="shared" si="37"/>
        <v>1.6850322508328186E-2</v>
      </c>
      <c r="I489" s="87">
        <f>EXP(-EXP(-(C489-Dataset!I$59)/Dataset!I$58))</f>
        <v>0.70043687306235647</v>
      </c>
      <c r="J489" s="86">
        <f t="shared" si="38"/>
        <v>6.0436873062356455E-2</v>
      </c>
    </row>
    <row r="490" spans="1:10" x14ac:dyDescent="0.3">
      <c r="A490" s="81">
        <v>1983</v>
      </c>
      <c r="B490" s="88">
        <v>50.490625812752903</v>
      </c>
      <c r="C490" s="53">
        <v>47.4641612177032</v>
      </c>
      <c r="D490" s="53">
        <v>33</v>
      </c>
      <c r="E490" s="86">
        <f t="shared" ref="E490:E507" si="39">(C490-B$509)/B$510</f>
        <v>0.42074126852133287</v>
      </c>
      <c r="F490" s="86">
        <f t="shared" si="36"/>
        <v>0.66</v>
      </c>
      <c r="G490" s="86">
        <f>_xlfn.LOGNORM.DIST(C490,Dataset!I$62,Dataset!I$63,TRUE)</f>
        <v>0.67975523130712812</v>
      </c>
      <c r="H490" s="86">
        <f t="shared" si="37"/>
        <v>1.9755231307128085E-2</v>
      </c>
      <c r="I490" s="87">
        <f>EXP(-EXP(-(C490-Dataset!I$59)/Dataset!I$58))</f>
        <v>0.72085668179326901</v>
      </c>
      <c r="J490" s="86">
        <f t="shared" si="38"/>
        <v>6.0856681793268974E-2</v>
      </c>
    </row>
    <row r="491" spans="1:10" x14ac:dyDescent="0.3">
      <c r="A491" s="81">
        <v>1984</v>
      </c>
      <c r="B491" s="88">
        <v>48.388259402018399</v>
      </c>
      <c r="C491" s="53">
        <v>47.500734835655798</v>
      </c>
      <c r="D491" s="53">
        <v>34</v>
      </c>
      <c r="E491" s="86">
        <f t="shared" si="39"/>
        <v>0.42812299137551518</v>
      </c>
      <c r="F491" s="86">
        <f t="shared" si="36"/>
        <v>0.68</v>
      </c>
      <c r="G491" s="86">
        <f>_xlfn.LOGNORM.DIST(C491,Dataset!I$62,Dataset!I$63,TRUE)</f>
        <v>0.68228220920448157</v>
      </c>
      <c r="H491" s="86">
        <f t="shared" si="37"/>
        <v>2.2822092044815223E-3</v>
      </c>
      <c r="I491" s="87">
        <f>EXP(-EXP(-(C491-Dataset!I$59)/Dataset!I$58))</f>
        <v>0.72308342999158048</v>
      </c>
      <c r="J491" s="86">
        <f t="shared" si="38"/>
        <v>4.3083429991580435E-2</v>
      </c>
    </row>
    <row r="492" spans="1:10" x14ac:dyDescent="0.3">
      <c r="A492" s="81">
        <v>1985</v>
      </c>
      <c r="B492" s="88">
        <v>38.451838493504397</v>
      </c>
      <c r="C492" s="53">
        <v>48.388259402018399</v>
      </c>
      <c r="D492" s="53">
        <v>35</v>
      </c>
      <c r="E492" s="86">
        <f t="shared" si="39"/>
        <v>0.6072537621857248</v>
      </c>
      <c r="F492" s="86">
        <f t="shared" si="36"/>
        <v>0.7</v>
      </c>
      <c r="G492" s="86">
        <f>_xlfn.LOGNORM.DIST(C492,Dataset!I$62,Dataset!I$63,TRUE)</f>
        <v>0.7402596763730982</v>
      </c>
      <c r="H492" s="86">
        <f t="shared" si="37"/>
        <v>4.0259676373098241E-2</v>
      </c>
      <c r="I492" s="87">
        <f>EXP(-EXP(-(C492-Dataset!I$59)/Dataset!I$58))</f>
        <v>0.7728449006967214</v>
      </c>
      <c r="J492" s="86">
        <f t="shared" si="38"/>
        <v>7.2844900696721449E-2</v>
      </c>
    </row>
    <row r="493" spans="1:10" x14ac:dyDescent="0.3">
      <c r="A493" s="81">
        <v>1986</v>
      </c>
      <c r="B493" s="88">
        <v>41.813560273094303</v>
      </c>
      <c r="C493" s="53">
        <v>48.458211608351803</v>
      </c>
      <c r="D493" s="53">
        <v>36</v>
      </c>
      <c r="E493" s="86">
        <f t="shared" si="39"/>
        <v>0.62137234900043403</v>
      </c>
      <c r="F493" s="86">
        <f t="shared" si="36"/>
        <v>0.72</v>
      </c>
      <c r="G493" s="86">
        <f>_xlfn.LOGNORM.DIST(C493,Dataset!I$62,Dataset!I$63,TRUE)</f>
        <v>0.74454346825030737</v>
      </c>
      <c r="H493" s="86">
        <f t="shared" si="37"/>
        <v>2.4543468250307399E-2</v>
      </c>
      <c r="I493" s="87">
        <f>EXP(-EXP(-(C493-Dataset!I$59)/Dataset!I$58))</f>
        <v>0.77642685708072801</v>
      </c>
      <c r="J493" s="86">
        <f t="shared" si="38"/>
        <v>5.6426857080728032E-2</v>
      </c>
    </row>
    <row r="494" spans="1:10" x14ac:dyDescent="0.3">
      <c r="A494" s="81">
        <v>1987</v>
      </c>
      <c r="B494" s="88">
        <v>47.139083033292302</v>
      </c>
      <c r="C494" s="53">
        <v>48.6395613648913</v>
      </c>
      <c r="D494" s="53">
        <v>37</v>
      </c>
      <c r="E494" s="86">
        <f t="shared" si="39"/>
        <v>0.65797451518981698</v>
      </c>
      <c r="F494" s="86">
        <f t="shared" si="36"/>
        <v>0.74</v>
      </c>
      <c r="G494" s="86">
        <f>_xlfn.LOGNORM.DIST(C494,Dataset!I$62,Dataset!I$63,TRUE)</f>
        <v>0.75544686258901317</v>
      </c>
      <c r="H494" s="86">
        <f t="shared" si="37"/>
        <v>1.5446862589013177E-2</v>
      </c>
      <c r="I494" s="87">
        <f>EXP(-EXP(-(C494-Dataset!I$59)/Dataset!I$58))</f>
        <v>0.78548981225648351</v>
      </c>
      <c r="J494" s="86">
        <f t="shared" si="38"/>
        <v>4.5489812256483519E-2</v>
      </c>
    </row>
    <row r="495" spans="1:10" x14ac:dyDescent="0.3">
      <c r="A495" s="81">
        <v>1988</v>
      </c>
      <c r="B495" s="88">
        <v>47.4641612177032</v>
      </c>
      <c r="C495" s="53">
        <v>48.704525174844498</v>
      </c>
      <c r="D495" s="53">
        <v>38</v>
      </c>
      <c r="E495" s="86">
        <f t="shared" si="39"/>
        <v>0.67108628447793606</v>
      </c>
      <c r="F495" s="86">
        <f t="shared" si="36"/>
        <v>0.76</v>
      </c>
      <c r="G495" s="86">
        <f>_xlfn.LOGNORM.DIST(C495,Dataset!I$62,Dataset!I$63,TRUE)</f>
        <v>0.75928115715312072</v>
      </c>
      <c r="H495" s="86">
        <f t="shared" si="37"/>
        <v>7.1884284687928623E-4</v>
      </c>
      <c r="I495" s="87">
        <f>EXP(-EXP(-(C495-Dataset!I$59)/Dataset!I$58))</f>
        <v>0.78865891306768865</v>
      </c>
      <c r="J495" s="86">
        <f t="shared" si="38"/>
        <v>2.8658913067688641E-2</v>
      </c>
    </row>
    <row r="496" spans="1:10" x14ac:dyDescent="0.3">
      <c r="A496" s="81">
        <v>1989</v>
      </c>
      <c r="B496" s="88">
        <v>37.815701123843198</v>
      </c>
      <c r="C496" s="53">
        <v>49.646186279117899</v>
      </c>
      <c r="D496" s="53">
        <v>39</v>
      </c>
      <c r="E496" s="86">
        <f t="shared" si="39"/>
        <v>0.86114353567245971</v>
      </c>
      <c r="F496" s="86">
        <f t="shared" si="36"/>
        <v>0.78</v>
      </c>
      <c r="G496" s="86">
        <f>_xlfn.LOGNORM.DIST(C496,Dataset!I$62,Dataset!I$63,TRUE)</f>
        <v>0.8105446786794992</v>
      </c>
      <c r="H496" s="86">
        <f t="shared" si="37"/>
        <v>3.0544678679499171E-2</v>
      </c>
      <c r="I496" s="87">
        <f>EXP(-EXP(-(C496-Dataset!I$59)/Dataset!I$58))</f>
        <v>0.83022309317665288</v>
      </c>
      <c r="J496" s="86">
        <f t="shared" si="38"/>
        <v>5.0223093176652855E-2</v>
      </c>
    </row>
    <row r="497" spans="1:10" x14ac:dyDescent="0.3">
      <c r="A497" s="81">
        <v>1990</v>
      </c>
      <c r="B497" s="88">
        <v>45.626532406206998</v>
      </c>
      <c r="C497" s="53">
        <v>49.7117686192043</v>
      </c>
      <c r="D497" s="53">
        <v>40</v>
      </c>
      <c r="E497" s="86">
        <f t="shared" si="39"/>
        <v>0.87438014407346554</v>
      </c>
      <c r="F497" s="86">
        <f t="shared" si="36"/>
        <v>0.8</v>
      </c>
      <c r="G497" s="86">
        <f>_xlfn.LOGNORM.DIST(C497,Dataset!I$62,Dataset!I$63,TRUE)</f>
        <v>0.8138121667122501</v>
      </c>
      <c r="H497" s="86">
        <f t="shared" si="37"/>
        <v>1.3812166712250051E-2</v>
      </c>
      <c r="I497" s="87">
        <f>EXP(-EXP(-(C497-Dataset!I$59)/Dataset!I$58))</f>
        <v>0.8328274977382929</v>
      </c>
      <c r="J497" s="86">
        <f t="shared" si="38"/>
        <v>3.2827497738292855E-2</v>
      </c>
    </row>
    <row r="498" spans="1:10" x14ac:dyDescent="0.3">
      <c r="A498" s="81">
        <v>1991</v>
      </c>
      <c r="B498" s="88">
        <v>57.555476313979497</v>
      </c>
      <c r="C498" s="53">
        <v>49.770096979574397</v>
      </c>
      <c r="D498" s="53">
        <v>41</v>
      </c>
      <c r="E498" s="86">
        <f t="shared" si="39"/>
        <v>0.88615266795526937</v>
      </c>
      <c r="F498" s="86">
        <f t="shared" si="36"/>
        <v>0.82</v>
      </c>
      <c r="G498" s="86">
        <f>_xlfn.LOGNORM.DIST(C498,Dataset!I$62,Dataset!I$63,TRUE)</f>
        <v>0.81668514142395909</v>
      </c>
      <c r="H498" s="86">
        <f t="shared" si="37"/>
        <v>3.3148585760408578E-3</v>
      </c>
      <c r="I498" s="87">
        <f>EXP(-EXP(-(C498-Dataset!I$59)/Dataset!I$58))</f>
        <v>0.83511367726933916</v>
      </c>
      <c r="J498" s="86">
        <f t="shared" si="38"/>
        <v>1.511367726933921E-2</v>
      </c>
    </row>
    <row r="499" spans="1:10" x14ac:dyDescent="0.3">
      <c r="A499" s="81">
        <v>1992</v>
      </c>
      <c r="B499" s="88">
        <v>43.660563183932901</v>
      </c>
      <c r="C499" s="53">
        <v>49.783938856342701</v>
      </c>
      <c r="D499" s="53">
        <v>42</v>
      </c>
      <c r="E499" s="86">
        <f t="shared" si="39"/>
        <v>0.88894640026301608</v>
      </c>
      <c r="F499" s="86">
        <f t="shared" si="36"/>
        <v>0.84</v>
      </c>
      <c r="G499" s="86">
        <f>_xlfn.LOGNORM.DIST(C499,Dataset!I$62,Dataset!I$63,TRUE)</f>
        <v>0.81736235517565681</v>
      </c>
      <c r="H499" s="86">
        <f t="shared" si="37"/>
        <v>2.2637644824343162E-2</v>
      </c>
      <c r="I499" s="87">
        <f>EXP(-EXP(-(C499-Dataset!I$59)/Dataset!I$58))</f>
        <v>0.83565207091344385</v>
      </c>
      <c r="J499" s="86">
        <f t="shared" si="38"/>
        <v>4.3479290865561238E-3</v>
      </c>
    </row>
    <row r="500" spans="1:10" x14ac:dyDescent="0.3">
      <c r="A500" s="81">
        <v>1993</v>
      </c>
      <c r="B500" s="88">
        <v>44.413764584680699</v>
      </c>
      <c r="C500" s="53">
        <v>49.878744317510197</v>
      </c>
      <c r="D500" s="53">
        <v>43</v>
      </c>
      <c r="E500" s="86">
        <f t="shared" si="39"/>
        <v>0.90808116675804595</v>
      </c>
      <c r="F500" s="86">
        <f t="shared" si="36"/>
        <v>0.86</v>
      </c>
      <c r="G500" s="86">
        <f>_xlfn.LOGNORM.DIST(C500,Dataset!I$62,Dataset!I$63,TRUE)</f>
        <v>0.82195365151419852</v>
      </c>
      <c r="H500" s="86">
        <f t="shared" si="37"/>
        <v>3.8046348485801462E-2</v>
      </c>
      <c r="I500" s="87">
        <f>EXP(-EXP(-(C500-Dataset!I$59)/Dataset!I$58))</f>
        <v>0.83929731963265264</v>
      </c>
      <c r="J500" s="86">
        <f t="shared" si="38"/>
        <v>2.0702680367347348E-2</v>
      </c>
    </row>
    <row r="501" spans="1:10" x14ac:dyDescent="0.3">
      <c r="A501" s="81">
        <v>1994</v>
      </c>
      <c r="B501" s="88">
        <v>41.422924037025901</v>
      </c>
      <c r="C501" s="53">
        <v>50.490625812752903</v>
      </c>
      <c r="D501" s="53">
        <v>44</v>
      </c>
      <c r="E501" s="86">
        <f t="shared" si="39"/>
        <v>1.0315783724033367</v>
      </c>
      <c r="F501" s="86">
        <f t="shared" si="36"/>
        <v>0.88</v>
      </c>
      <c r="G501" s="86">
        <f>_xlfn.LOGNORM.DIST(C501,Dataset!I$62,Dataset!I$63,TRUE)</f>
        <v>0.84962852298828517</v>
      </c>
      <c r="H501" s="86">
        <f t="shared" si="37"/>
        <v>3.0371477011714831E-2</v>
      </c>
      <c r="I501" s="87">
        <f>EXP(-EXP(-(C501-Dataset!I$59)/Dataset!I$58))</f>
        <v>0.86111504354285506</v>
      </c>
      <c r="J501" s="86">
        <f t="shared" si="38"/>
        <v>1.8884956457144941E-2</v>
      </c>
    </row>
    <row r="502" spans="1:10" x14ac:dyDescent="0.3">
      <c r="A502" s="81">
        <v>1995</v>
      </c>
      <c r="B502" s="88">
        <v>44.142775598984699</v>
      </c>
      <c r="C502" s="53">
        <v>52.7774816557828</v>
      </c>
      <c r="D502" s="53">
        <v>45</v>
      </c>
      <c r="E502" s="86">
        <f t="shared" si="39"/>
        <v>1.4931388355380724</v>
      </c>
      <c r="F502" s="86">
        <f t="shared" si="36"/>
        <v>0.9</v>
      </c>
      <c r="G502" s="86">
        <f>_xlfn.LOGNORM.DIST(C502,Dataset!I$62,Dataset!I$63,TRUE)</f>
        <v>0.92531548006963982</v>
      </c>
      <c r="H502" s="86">
        <f t="shared" si="37"/>
        <v>2.5315480069639795E-2</v>
      </c>
      <c r="I502" s="87">
        <f>EXP(-EXP(-(C502-Dataset!I$59)/Dataset!I$58))</f>
        <v>0.92060655671164127</v>
      </c>
      <c r="J502" s="86">
        <f t="shared" si="38"/>
        <v>2.0606556711641244E-2</v>
      </c>
    </row>
    <row r="503" spans="1:10" x14ac:dyDescent="0.3">
      <c r="A503" s="81">
        <v>1996</v>
      </c>
      <c r="B503" s="88">
        <v>38.155846269982199</v>
      </c>
      <c r="C503" s="53">
        <v>53.055438251475401</v>
      </c>
      <c r="D503" s="53">
        <v>46</v>
      </c>
      <c r="E503" s="86">
        <f t="shared" si="39"/>
        <v>1.5492393437665457</v>
      </c>
      <c r="F503" s="86">
        <f t="shared" si="36"/>
        <v>0.92</v>
      </c>
      <c r="G503" s="86">
        <f>_xlfn.LOGNORM.DIST(C503,Dataset!I$62,Dataset!I$63,TRUE)</f>
        <v>0.9318900916270435</v>
      </c>
      <c r="H503" s="86">
        <f t="shared" si="37"/>
        <v>1.1890091627043464E-2</v>
      </c>
      <c r="I503" s="87">
        <f>EXP(-EXP(-(C503-Dataset!I$59)/Dataset!I$58))</f>
        <v>0.92590885963455205</v>
      </c>
      <c r="J503" s="86">
        <f t="shared" si="38"/>
        <v>5.9088596345520106E-3</v>
      </c>
    </row>
    <row r="504" spans="1:10" x14ac:dyDescent="0.3">
      <c r="A504" s="81">
        <v>1997</v>
      </c>
      <c r="B504" s="88">
        <v>49.646186279117899</v>
      </c>
      <c r="C504" s="53">
        <v>53.212208888987298</v>
      </c>
      <c r="D504" s="53">
        <v>47</v>
      </c>
      <c r="E504" s="86">
        <f t="shared" si="39"/>
        <v>1.5808806596266871</v>
      </c>
      <c r="F504" s="86">
        <f t="shared" si="36"/>
        <v>0.94</v>
      </c>
      <c r="G504" s="86">
        <f>_xlfn.LOGNORM.DIST(C504,Dataset!I$62,Dataset!I$63,TRUE)</f>
        <v>0.93538189491451162</v>
      </c>
      <c r="H504" s="86">
        <f t="shared" si="37"/>
        <v>4.6181050854883221E-3</v>
      </c>
      <c r="I504" s="87">
        <f>EXP(-EXP(-(C504-Dataset!I$59)/Dataset!I$58))</f>
        <v>0.92874784444947234</v>
      </c>
      <c r="J504" s="86">
        <f t="shared" si="38"/>
        <v>1.1252155550527609E-2</v>
      </c>
    </row>
    <row r="505" spans="1:10" x14ac:dyDescent="0.3">
      <c r="A505" s="81">
        <v>1998</v>
      </c>
      <c r="B505" s="88">
        <v>48.704525174844498</v>
      </c>
      <c r="C505" s="53">
        <v>53.268350654030201</v>
      </c>
      <c r="D505" s="53">
        <v>48</v>
      </c>
      <c r="E505" s="86">
        <f t="shared" si="39"/>
        <v>1.5922118588159071</v>
      </c>
      <c r="F505" s="86">
        <f t="shared" si="36"/>
        <v>0.96</v>
      </c>
      <c r="G505" s="86">
        <f>_xlfn.LOGNORM.DIST(C505,Dataset!I$62,Dataset!I$63,TRUE)</f>
        <v>0.93659556747944617</v>
      </c>
      <c r="H505" s="86">
        <f t="shared" si="37"/>
        <v>2.3404432520553797E-2</v>
      </c>
      <c r="I505" s="87">
        <f>EXP(-EXP(-(C505-Dataset!I$59)/Dataset!I$58))</f>
        <v>0.92973887370628128</v>
      </c>
      <c r="J505" s="86">
        <f t="shared" si="38"/>
        <v>3.0261126293718688E-2</v>
      </c>
    </row>
    <row r="506" spans="1:10" x14ac:dyDescent="0.3">
      <c r="A506" s="81">
        <v>1999</v>
      </c>
      <c r="B506" s="88">
        <v>46.586857408159098</v>
      </c>
      <c r="C506" s="53">
        <v>54.415162433831902</v>
      </c>
      <c r="D506" s="53">
        <v>49</v>
      </c>
      <c r="E506" s="86">
        <f t="shared" si="39"/>
        <v>1.8236750609355188</v>
      </c>
      <c r="F506" s="86">
        <f t="shared" si="36"/>
        <v>0.98</v>
      </c>
      <c r="G506" s="86">
        <f>_xlfn.LOGNORM.DIST(C506,Dataset!I$62,Dataset!I$63,TRUE)</f>
        <v>0.95750860121132597</v>
      </c>
      <c r="H506" s="86">
        <f t="shared" si="37"/>
        <v>2.2491398788674011E-2</v>
      </c>
      <c r="I506" s="87">
        <f>EXP(-EXP(-(C506-Dataset!I$59)/Dataset!I$58))</f>
        <v>0.94730045075889224</v>
      </c>
      <c r="J506" s="86">
        <f t="shared" si="38"/>
        <v>3.2699549241107739E-2</v>
      </c>
    </row>
    <row r="507" spans="1:10" x14ac:dyDescent="0.3">
      <c r="A507" s="81">
        <v>2000</v>
      </c>
      <c r="B507" s="88">
        <v>43.193762802965203</v>
      </c>
      <c r="C507" s="53">
        <v>57.555476313979497</v>
      </c>
      <c r="D507" s="53">
        <v>50</v>
      </c>
      <c r="E507" s="86">
        <f t="shared" si="39"/>
        <v>2.4574905825072531</v>
      </c>
      <c r="F507" s="86">
        <f t="shared" si="36"/>
        <v>1</v>
      </c>
      <c r="G507" s="86">
        <f>_xlfn.LOGNORM.DIST(C507,Dataset!I$62,Dataset!I$63,TRUE)</f>
        <v>0.98738576648775067</v>
      </c>
      <c r="H507" s="86">
        <f t="shared" si="37"/>
        <v>1.2614233512249329E-2</v>
      </c>
      <c r="I507" s="87">
        <f>EXP(-EXP(-(C507-Dataset!I$59)/Dataset!I$58))</f>
        <v>0.97627201865296775</v>
      </c>
      <c r="J507" s="86">
        <f t="shared" si="38"/>
        <v>2.3727981347032245E-2</v>
      </c>
    </row>
    <row r="509" spans="1:10" x14ac:dyDescent="0.3">
      <c r="A509" s="81" t="s">
        <v>12</v>
      </c>
      <c r="B509" s="53">
        <f>AVERAGE(C458:C507)</f>
        <v>45.379548896736381</v>
      </c>
      <c r="C509" s="80" t="s">
        <v>14</v>
      </c>
      <c r="D509" s="53">
        <v>50</v>
      </c>
      <c r="G509" s="91" t="s">
        <v>25</v>
      </c>
      <c r="H509" s="91">
        <f>MAX(H458:H507)</f>
        <v>5.7642857244798978E-2</v>
      </c>
      <c r="I509" s="91" t="s">
        <v>25</v>
      </c>
      <c r="J509" s="91">
        <f>MAX(J458:J507)</f>
        <v>9.4942190396332449E-2</v>
      </c>
    </row>
    <row r="510" spans="1:10" x14ac:dyDescent="0.3">
      <c r="A510" s="81" t="s">
        <v>13</v>
      </c>
      <c r="B510" s="53">
        <f>_xlfn.STDEV.S(C458:C507)</f>
        <v>4.9546181392974598</v>
      </c>
      <c r="C510" s="80" t="s">
        <v>15</v>
      </c>
      <c r="D510" s="53">
        <v>50</v>
      </c>
      <c r="G510" s="91" t="s">
        <v>23</v>
      </c>
      <c r="H510" s="91">
        <v>0.05</v>
      </c>
      <c r="I510" s="91" t="s">
        <v>23</v>
      </c>
      <c r="J510" s="91">
        <v>0.05</v>
      </c>
    </row>
    <row r="511" spans="1:10" x14ac:dyDescent="0.3">
      <c r="G511" s="91" t="s">
        <v>26</v>
      </c>
      <c r="H511" s="91">
        <v>0.19</v>
      </c>
      <c r="I511" s="91" t="s">
        <v>26</v>
      </c>
      <c r="J511" s="91">
        <v>0.19</v>
      </c>
    </row>
    <row r="512" spans="1:10" x14ac:dyDescent="0.3">
      <c r="G512" s="139" t="s">
        <v>32</v>
      </c>
      <c r="H512" s="139"/>
      <c r="I512" s="139"/>
      <c r="J512" s="139"/>
    </row>
    <row r="513" spans="1:34" x14ac:dyDescent="0.3">
      <c r="A513" s="141" t="s">
        <v>28</v>
      </c>
      <c r="B513" s="141"/>
      <c r="C513" s="141"/>
      <c r="D513" s="141"/>
      <c r="E513" s="141"/>
      <c r="F513" s="141"/>
      <c r="G513" s="141"/>
    </row>
    <row r="514" spans="1:34" x14ac:dyDescent="0.3">
      <c r="A514" s="138" t="s">
        <v>36</v>
      </c>
      <c r="B514" s="138"/>
      <c r="C514" s="138"/>
      <c r="E514" s="142" t="s">
        <v>37</v>
      </c>
      <c r="F514" s="143"/>
      <c r="G514" s="144"/>
    </row>
    <row r="515" spans="1:34" x14ac:dyDescent="0.3">
      <c r="A515" s="88" t="s">
        <v>29</v>
      </c>
      <c r="B515" s="53"/>
      <c r="C515" s="53" cm="1">
        <f t="array" ref="C515">-(SUM(LN(B458:B507)))-((50/2)*LN(Dataset!I$63^2))-((50/2)*LN(2*PI()))-((1/(2*Dataset!I$63^2))*SUM((LN(B458:B507)-Dataset!I$62)^2))</f>
        <v>-149.97444186533389</v>
      </c>
      <c r="E515" s="10" t="s">
        <v>29</v>
      </c>
      <c r="F515" s="11"/>
      <c r="G515" s="12" cm="1">
        <f t="array" ref="G515">-50*LN(Dataset!I$58) + 50*Dataset!I$59/Dataset!I$58 - SUM((B458:B507)/Dataset!I$58) -(EXP(Dataset!I$59/Dataset!I$58)*SUM(EXP(-(B458:B507)/Dataset!I$58)))</f>
        <v>-151.39989851723482</v>
      </c>
    </row>
    <row r="516" spans="1:34" x14ac:dyDescent="0.3">
      <c r="A516" s="90"/>
      <c r="B516" s="53"/>
      <c r="C516" s="53"/>
      <c r="E516" s="10"/>
      <c r="F516" s="11"/>
      <c r="G516" s="12"/>
      <c r="L516" s="21"/>
    </row>
    <row r="517" spans="1:34" x14ac:dyDescent="0.3">
      <c r="A517" s="90" t="s">
        <v>30</v>
      </c>
      <c r="B517" s="53"/>
      <c r="C517" s="53">
        <f>-2*C515+2*2</f>
        <v>303.94888373066777</v>
      </c>
      <c r="E517" s="10" t="s">
        <v>30</v>
      </c>
      <c r="F517" s="11"/>
      <c r="G517" s="12">
        <f>-2*G515+2*2</f>
        <v>306.79979703446963</v>
      </c>
    </row>
    <row r="518" spans="1:34" x14ac:dyDescent="0.3">
      <c r="A518" s="90" t="s">
        <v>31</v>
      </c>
      <c r="B518" s="53"/>
      <c r="C518" s="53">
        <f>-2*C515+2*LN(50)</f>
        <v>307.77292974152408</v>
      </c>
      <c r="E518" s="13" t="s">
        <v>31</v>
      </c>
      <c r="F518" s="14"/>
      <c r="G518" s="15">
        <f>-2*G515+2*LN(50)</f>
        <v>310.62384304532594</v>
      </c>
    </row>
    <row r="519" spans="1:34" x14ac:dyDescent="0.3">
      <c r="A519" s="2" t="s">
        <v>48</v>
      </c>
    </row>
    <row r="521" spans="1:34" x14ac:dyDescent="0.3">
      <c r="A521" s="136" t="s">
        <v>46</v>
      </c>
      <c r="B521" s="136"/>
      <c r="C521" s="136"/>
      <c r="D521" s="136"/>
      <c r="E521" s="136"/>
      <c r="F521" s="136"/>
      <c r="G521" s="136"/>
      <c r="H521" s="136"/>
      <c r="I521" s="136"/>
      <c r="J521" s="136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57.6" x14ac:dyDescent="0.3">
      <c r="A522" s="81" t="s">
        <v>49</v>
      </c>
      <c r="B522" s="80" t="s">
        <v>27</v>
      </c>
      <c r="C522" s="80" t="s">
        <v>11</v>
      </c>
      <c r="D522" s="82" t="s">
        <v>16</v>
      </c>
      <c r="E522" s="83" t="s">
        <v>17</v>
      </c>
      <c r="F522" s="83" t="s">
        <v>18</v>
      </c>
      <c r="G522" s="82" t="s">
        <v>19</v>
      </c>
      <c r="H522" s="82" t="s">
        <v>20</v>
      </c>
      <c r="I522" s="82" t="s">
        <v>21</v>
      </c>
      <c r="J522" s="82" t="s">
        <v>22</v>
      </c>
    </row>
    <row r="523" spans="1:34" x14ac:dyDescent="0.3">
      <c r="A523" s="81">
        <v>1951</v>
      </c>
      <c r="B523" s="88" cm="1">
        <f t="array" ref="B523:B572">Dataset!J$2:J$51</f>
        <v>70.634659238347297</v>
      </c>
      <c r="C523" s="53">
        <v>47.640249853581601</v>
      </c>
      <c r="D523" s="53">
        <v>1</v>
      </c>
      <c r="E523" s="86">
        <f t="shared" ref="E523:E554" si="40">(C523-B$574)/B$575</f>
        <v>-2.0798020758206013</v>
      </c>
      <c r="F523" s="86">
        <f>D523/50</f>
        <v>0.02</v>
      </c>
      <c r="G523" s="86">
        <f>_xlfn.LOGNORM.DIST(C523,Dataset!J$62,Dataset!J$63,TRUE)</f>
        <v>1.0789388093975666E-2</v>
      </c>
      <c r="H523" s="86">
        <f>ABS(G523-F523)</f>
        <v>9.2106119060243342E-3</v>
      </c>
      <c r="I523" s="87">
        <f>EXP(-EXP(-(C523-Dataset!J$59)/Dataset!J$58))</f>
        <v>3.0739796446270989E-4</v>
      </c>
      <c r="J523" s="86">
        <f>ABS(I523-F523)</f>
        <v>1.9692602035537292E-2</v>
      </c>
    </row>
    <row r="524" spans="1:34" x14ac:dyDescent="0.3">
      <c r="A524" s="81">
        <v>1952</v>
      </c>
      <c r="B524" s="88">
        <v>63.674269142756302</v>
      </c>
      <c r="C524" s="53">
        <v>49.282785542673203</v>
      </c>
      <c r="D524" s="53">
        <v>2</v>
      </c>
      <c r="E524" s="86">
        <f t="shared" si="40"/>
        <v>-1.8196299759015722</v>
      </c>
      <c r="F524" s="86">
        <f t="shared" ref="F524:F572" si="41">D524/50</f>
        <v>0.04</v>
      </c>
      <c r="G524" s="86">
        <f>_xlfn.LOGNORM.DIST(C524,Dataset!J$62,Dataset!J$63,TRUE)</f>
        <v>2.4388384404574772E-2</v>
      </c>
      <c r="H524" s="86">
        <f t="shared" ref="H524:H572" si="42">ABS(G524-F524)</f>
        <v>1.5611615595425229E-2</v>
      </c>
      <c r="I524" s="87">
        <f>EXP(-EXP(-(C524-Dataset!J$59)/Dataset!J$58))</f>
        <v>3.0494826660087656E-3</v>
      </c>
      <c r="J524" s="86">
        <f t="shared" ref="J524:J572" si="43">ABS(I524-F524)</f>
        <v>3.6950517333991233E-2</v>
      </c>
    </row>
    <row r="525" spans="1:34" x14ac:dyDescent="0.3">
      <c r="A525" s="81">
        <v>1953</v>
      </c>
      <c r="B525" s="88">
        <v>59.6546205178498</v>
      </c>
      <c r="C525" s="53">
        <v>49.970017048669597</v>
      </c>
      <c r="D525" s="53">
        <v>3</v>
      </c>
      <c r="E525" s="86">
        <f t="shared" si="40"/>
        <v>-1.7107748288061186</v>
      </c>
      <c r="F525" s="86">
        <f t="shared" si="41"/>
        <v>0.06</v>
      </c>
      <c r="G525" s="86">
        <f>_xlfn.LOGNORM.DIST(C525,Dataset!J$62,Dataset!J$63,TRUE)</f>
        <v>3.3114008086321992E-2</v>
      </c>
      <c r="H525" s="86">
        <f t="shared" si="42"/>
        <v>2.6885991913678006E-2</v>
      </c>
      <c r="I525" s="87">
        <f>EXP(-EXP(-(C525-Dataset!J$59)/Dataset!J$58))</f>
        <v>6.4870760571997177E-3</v>
      </c>
      <c r="J525" s="86">
        <f t="shared" si="43"/>
        <v>5.3512923942800279E-2</v>
      </c>
    </row>
    <row r="526" spans="1:34" x14ac:dyDescent="0.3">
      <c r="A526" s="81">
        <v>1954</v>
      </c>
      <c r="B526" s="88">
        <v>54.0280998342324</v>
      </c>
      <c r="C526" s="53">
        <v>50.298016714873803</v>
      </c>
      <c r="D526" s="53">
        <v>4</v>
      </c>
      <c r="E526" s="86">
        <f t="shared" si="40"/>
        <v>-1.6588207906102825</v>
      </c>
      <c r="F526" s="86">
        <f t="shared" si="41"/>
        <v>0.08</v>
      </c>
      <c r="G526" s="86">
        <f>_xlfn.LOGNORM.DIST(C526,Dataset!J$62,Dataset!J$63,TRUE)</f>
        <v>3.8053836574903147E-2</v>
      </c>
      <c r="H526" s="86">
        <f t="shared" si="42"/>
        <v>4.1946163425096855E-2</v>
      </c>
      <c r="I526" s="87">
        <f>EXP(-EXP(-(C526-Dataset!J$59)/Dataset!J$58))</f>
        <v>8.9761827264871179E-3</v>
      </c>
      <c r="J526" s="86">
        <f t="shared" si="43"/>
        <v>7.1023817273512882E-2</v>
      </c>
    </row>
    <row r="527" spans="1:34" x14ac:dyDescent="0.3">
      <c r="A527" s="81">
        <v>1955</v>
      </c>
      <c r="B527" s="88">
        <v>60.035797403123603</v>
      </c>
      <c r="C527" s="53">
        <v>53.904296873825402</v>
      </c>
      <c r="D527" s="53">
        <v>5</v>
      </c>
      <c r="E527" s="86">
        <f t="shared" si="40"/>
        <v>-1.0875982058701816</v>
      </c>
      <c r="F527" s="86">
        <f t="shared" si="41"/>
        <v>0.1</v>
      </c>
      <c r="G527" s="86">
        <f>_xlfn.LOGNORM.DIST(C527,Dataset!J$62,Dataset!J$63,TRUE)</f>
        <v>0.13449314141090185</v>
      </c>
      <c r="H527" s="86">
        <f t="shared" si="42"/>
        <v>3.4493141410901845E-2</v>
      </c>
      <c r="I527" s="87">
        <f>EXP(-EXP(-(C527-Dataset!J$59)/Dataset!J$58))</f>
        <v>0.10379427007985206</v>
      </c>
      <c r="J527" s="86">
        <f t="shared" si="43"/>
        <v>3.7942700798520579E-3</v>
      </c>
    </row>
    <row r="528" spans="1:34" x14ac:dyDescent="0.3">
      <c r="A528" s="81">
        <v>1956</v>
      </c>
      <c r="B528" s="88">
        <v>54.091746507636302</v>
      </c>
      <c r="C528" s="53">
        <v>53.944046389544702</v>
      </c>
      <c r="D528" s="53">
        <v>6</v>
      </c>
      <c r="E528" s="86">
        <f t="shared" si="40"/>
        <v>-1.0813020169689989</v>
      </c>
      <c r="F528" s="86">
        <f t="shared" si="41"/>
        <v>0.12</v>
      </c>
      <c r="G528" s="86">
        <f>_xlfn.LOGNORM.DIST(C528,Dataset!J$62,Dataset!J$63,TRUE)</f>
        <v>0.13603994568055189</v>
      </c>
      <c r="H528" s="86">
        <f t="shared" si="42"/>
        <v>1.6039945680551893E-2</v>
      </c>
      <c r="I528" s="87">
        <f>EXP(-EXP(-(C528-Dataset!J$59)/Dataset!J$58))</f>
        <v>0.10570270940936821</v>
      </c>
      <c r="J528" s="86">
        <f t="shared" si="43"/>
        <v>1.4297290590631784E-2</v>
      </c>
    </row>
    <row r="529" spans="1:19" x14ac:dyDescent="0.3">
      <c r="A529" s="81">
        <v>1957</v>
      </c>
      <c r="B529" s="88">
        <v>62.991102242347097</v>
      </c>
      <c r="C529" s="53">
        <v>54.0280998342324</v>
      </c>
      <c r="D529" s="53">
        <v>7</v>
      </c>
      <c r="E529" s="86">
        <f t="shared" si="40"/>
        <v>-1.0679882355059487</v>
      </c>
      <c r="F529" s="86">
        <f t="shared" si="41"/>
        <v>0.14000000000000001</v>
      </c>
      <c r="G529" s="86">
        <f>_xlfn.LOGNORM.DIST(C529,Dataset!J$62,Dataset!J$63,TRUE)</f>
        <v>0.1393469330494049</v>
      </c>
      <c r="H529" s="86">
        <f t="shared" si="42"/>
        <v>6.5306695059511033E-4</v>
      </c>
      <c r="I529" s="87">
        <f>EXP(-EXP(-(C529-Dataset!J$59)/Dataset!J$58))</f>
        <v>0.10980175489508143</v>
      </c>
      <c r="J529" s="86">
        <f t="shared" si="43"/>
        <v>3.0198245104918586E-2</v>
      </c>
      <c r="S529" s="1"/>
    </row>
    <row r="530" spans="1:19" x14ac:dyDescent="0.3">
      <c r="A530" s="81">
        <v>1958</v>
      </c>
      <c r="B530" s="88">
        <v>66.611365643255994</v>
      </c>
      <c r="C530" s="53">
        <v>54.091746507636302</v>
      </c>
      <c r="D530" s="53">
        <v>8</v>
      </c>
      <c r="E530" s="86">
        <f t="shared" si="40"/>
        <v>-1.0579068176211954</v>
      </c>
      <c r="F530" s="86">
        <f t="shared" si="41"/>
        <v>0.16</v>
      </c>
      <c r="G530" s="86">
        <f>_xlfn.LOGNORM.DIST(C530,Dataset!J$62,Dataset!J$63,TRUE)</f>
        <v>0.14188364775524159</v>
      </c>
      <c r="H530" s="86">
        <f t="shared" si="42"/>
        <v>1.811635224475841E-2</v>
      </c>
      <c r="I530" s="87">
        <f>EXP(-EXP(-(C530-Dataset!J$59)/Dataset!J$58))</f>
        <v>0.11296255853922386</v>
      </c>
      <c r="J530" s="86">
        <f t="shared" si="43"/>
        <v>4.7037441460776139E-2</v>
      </c>
    </row>
    <row r="531" spans="1:19" x14ac:dyDescent="0.3">
      <c r="A531" s="81">
        <v>1959</v>
      </c>
      <c r="B531" s="88">
        <v>59.090861228189603</v>
      </c>
      <c r="C531" s="53">
        <v>54.549425364702003</v>
      </c>
      <c r="D531" s="53">
        <v>9</v>
      </c>
      <c r="E531" s="86">
        <f t="shared" si="40"/>
        <v>-0.985412034024025</v>
      </c>
      <c r="F531" s="86">
        <f t="shared" si="41"/>
        <v>0.18</v>
      </c>
      <c r="G531" s="86">
        <f>_xlfn.LOGNORM.DIST(C531,Dataset!J$62,Dataset!J$63,TRUE)</f>
        <v>0.16094697357985768</v>
      </c>
      <c r="H531" s="86">
        <f t="shared" si="42"/>
        <v>1.9053026420142311E-2</v>
      </c>
      <c r="I531" s="87">
        <f>EXP(-EXP(-(C531-Dataset!J$59)/Dataset!J$58))</f>
        <v>0.13709539338843135</v>
      </c>
      <c r="J531" s="86">
        <f t="shared" si="43"/>
        <v>4.2904606611568641E-2</v>
      </c>
    </row>
    <row r="532" spans="1:19" x14ac:dyDescent="0.3">
      <c r="A532" s="81">
        <v>1960</v>
      </c>
      <c r="B532" s="88">
        <v>49.970017048669597</v>
      </c>
      <c r="C532" s="53">
        <v>54.966830915636201</v>
      </c>
      <c r="D532" s="53">
        <v>10</v>
      </c>
      <c r="E532" s="86">
        <f t="shared" si="40"/>
        <v>-0.91929640595845219</v>
      </c>
      <c r="F532" s="86">
        <f t="shared" si="41"/>
        <v>0.2</v>
      </c>
      <c r="G532" s="86">
        <f>_xlfn.LOGNORM.DIST(C532,Dataset!J$62,Dataset!J$63,TRUE)</f>
        <v>0.1795711877832776</v>
      </c>
      <c r="H532" s="86">
        <f t="shared" si="42"/>
        <v>2.0428812216722408E-2</v>
      </c>
      <c r="I532" s="87">
        <f>EXP(-EXP(-(C532-Dataset!J$59)/Dataset!J$58))</f>
        <v>0.16113318541404734</v>
      </c>
      <c r="J532" s="86">
        <f t="shared" si="43"/>
        <v>3.8866814585952675E-2</v>
      </c>
    </row>
    <row r="533" spans="1:19" x14ac:dyDescent="0.3">
      <c r="A533" s="81">
        <v>1961</v>
      </c>
      <c r="B533" s="88">
        <v>60.277911593894203</v>
      </c>
      <c r="C533" s="53">
        <v>54.991430346918598</v>
      </c>
      <c r="D533" s="53">
        <v>11</v>
      </c>
      <c r="E533" s="86">
        <f t="shared" si="40"/>
        <v>-0.91539993921130069</v>
      </c>
      <c r="F533" s="86">
        <f t="shared" si="41"/>
        <v>0.22</v>
      </c>
      <c r="G533" s="86">
        <f>_xlfn.LOGNORM.DIST(C533,Dataset!J$62,Dataset!J$63,TRUE)</f>
        <v>0.18070490599938852</v>
      </c>
      <c r="H533" s="86">
        <f t="shared" si="42"/>
        <v>3.9295094000611486E-2</v>
      </c>
      <c r="I533" s="87">
        <f>EXP(-EXP(-(C533-Dataset!J$59)/Dataset!J$58))</f>
        <v>0.1626062416714395</v>
      </c>
      <c r="J533" s="86">
        <f t="shared" si="43"/>
        <v>5.7393758328560501E-2</v>
      </c>
    </row>
    <row r="534" spans="1:19" x14ac:dyDescent="0.3">
      <c r="A534" s="81">
        <v>1962</v>
      </c>
      <c r="B534" s="88">
        <v>72.894191562565894</v>
      </c>
      <c r="C534" s="53">
        <v>55.550343341088698</v>
      </c>
      <c r="D534" s="53">
        <v>12</v>
      </c>
      <c r="E534" s="86">
        <f t="shared" si="40"/>
        <v>-0.826870010558312</v>
      </c>
      <c r="F534" s="86">
        <f t="shared" si="41"/>
        <v>0.24</v>
      </c>
      <c r="G534" s="86">
        <f>_xlfn.LOGNORM.DIST(C534,Dataset!J$62,Dataset!J$63,TRUE)</f>
        <v>0.20751317427101998</v>
      </c>
      <c r="H534" s="86">
        <f t="shared" si="42"/>
        <v>3.2486825728980012E-2</v>
      </c>
      <c r="I534" s="87">
        <f>EXP(-EXP(-(C534-Dataset!J$59)/Dataset!J$58))</f>
        <v>0.19761117383354068</v>
      </c>
      <c r="J534" s="86">
        <f t="shared" si="43"/>
        <v>4.2388826166459309E-2</v>
      </c>
    </row>
    <row r="535" spans="1:19" x14ac:dyDescent="0.3">
      <c r="A535" s="81">
        <v>1963</v>
      </c>
      <c r="B535" s="88">
        <v>56.8512669427543</v>
      </c>
      <c r="C535" s="53">
        <v>55.665953503827097</v>
      </c>
      <c r="D535" s="53">
        <v>13</v>
      </c>
      <c r="E535" s="86">
        <f t="shared" si="40"/>
        <v>-0.80855775164583465</v>
      </c>
      <c r="F535" s="86">
        <f t="shared" si="41"/>
        <v>0.26</v>
      </c>
      <c r="G535" s="86">
        <f>_xlfn.LOGNORM.DIST(C535,Dataset!J$62,Dataset!J$63,TRUE)</f>
        <v>0.21330263099881205</v>
      </c>
      <c r="H535" s="86">
        <f t="shared" si="42"/>
        <v>4.6697369001187955E-2</v>
      </c>
      <c r="I535" s="87">
        <f>EXP(-EXP(-(C535-Dataset!J$59)/Dataset!J$58))</f>
        <v>0.20519083390123624</v>
      </c>
      <c r="J535" s="86">
        <f t="shared" si="43"/>
        <v>5.4809166098763767E-2</v>
      </c>
    </row>
    <row r="536" spans="1:19" x14ac:dyDescent="0.3">
      <c r="A536" s="81">
        <v>1964</v>
      </c>
      <c r="B536" s="88">
        <v>67.4022869440101</v>
      </c>
      <c r="C536" s="53">
        <v>55.779014555054403</v>
      </c>
      <c r="D536" s="53">
        <v>14</v>
      </c>
      <c r="E536" s="86">
        <f t="shared" si="40"/>
        <v>-0.79064926337844788</v>
      </c>
      <c r="F536" s="86">
        <f t="shared" si="41"/>
        <v>0.28000000000000003</v>
      </c>
      <c r="G536" s="86">
        <f>_xlfn.LOGNORM.DIST(C536,Dataset!J$62,Dataset!J$63,TRUE)</f>
        <v>0.21904258782949579</v>
      </c>
      <c r="H536" s="86">
        <f t="shared" si="42"/>
        <v>6.0957412170504238E-2</v>
      </c>
      <c r="I536" s="87">
        <f>EXP(-EXP(-(C536-Dataset!J$59)/Dataset!J$58))</f>
        <v>0.21270462344878069</v>
      </c>
      <c r="J536" s="86">
        <f t="shared" si="43"/>
        <v>6.7295376551219338E-2</v>
      </c>
    </row>
    <row r="537" spans="1:19" x14ac:dyDescent="0.3">
      <c r="A537" s="81">
        <v>1965</v>
      </c>
      <c r="B537" s="88">
        <v>54.549425364702003</v>
      </c>
      <c r="C537" s="53">
        <v>56.8512669427543</v>
      </c>
      <c r="D537" s="53">
        <v>15</v>
      </c>
      <c r="E537" s="86">
        <f t="shared" si="40"/>
        <v>-0.62080811033454741</v>
      </c>
      <c r="F537" s="86">
        <f t="shared" si="41"/>
        <v>0.3</v>
      </c>
      <c r="G537" s="86">
        <f>_xlfn.LOGNORM.DIST(C537,Dataset!J$62,Dataset!J$63,TRUE)</f>
        <v>0.27704120266974969</v>
      </c>
      <c r="H537" s="86">
        <f t="shared" si="42"/>
        <v>2.2958797330250302E-2</v>
      </c>
      <c r="I537" s="87">
        <f>EXP(-EXP(-(C537-Dataset!J$59)/Dataset!J$58))</f>
        <v>0.28797755894942556</v>
      </c>
      <c r="J537" s="86">
        <f t="shared" si="43"/>
        <v>1.2022441050574428E-2</v>
      </c>
    </row>
    <row r="538" spans="1:19" x14ac:dyDescent="0.3">
      <c r="A538" s="81">
        <v>1966</v>
      </c>
      <c r="B538" s="88">
        <v>59.8021868564676</v>
      </c>
      <c r="C538" s="53">
        <v>57.500695210328303</v>
      </c>
      <c r="D538" s="53">
        <v>16</v>
      </c>
      <c r="E538" s="86">
        <f t="shared" si="40"/>
        <v>-0.51794086839659603</v>
      </c>
      <c r="F538" s="86">
        <f t="shared" si="41"/>
        <v>0.32</v>
      </c>
      <c r="G538" s="86">
        <f>_xlfn.LOGNORM.DIST(C538,Dataset!J$62,Dataset!J$63,TRUE)</f>
        <v>0.3148943892245788</v>
      </c>
      <c r="H538" s="86">
        <f t="shared" si="42"/>
        <v>5.1056107754212099E-3</v>
      </c>
      <c r="I538" s="87">
        <f>EXP(-EXP(-(C538-Dataset!J$59)/Dataset!J$58))</f>
        <v>0.33587913378265927</v>
      </c>
      <c r="J538" s="86">
        <f t="shared" si="43"/>
        <v>1.587913378265926E-2</v>
      </c>
    </row>
    <row r="539" spans="1:19" x14ac:dyDescent="0.3">
      <c r="A539" s="81">
        <v>1967</v>
      </c>
      <c r="B539" s="88">
        <v>57.500695210328303</v>
      </c>
      <c r="C539" s="53">
        <v>57.933254783896103</v>
      </c>
      <c r="D539" s="53">
        <v>17</v>
      </c>
      <c r="E539" s="86">
        <f t="shared" si="40"/>
        <v>-0.44942489437994976</v>
      </c>
      <c r="F539" s="86">
        <f t="shared" si="41"/>
        <v>0.34</v>
      </c>
      <c r="G539" s="86">
        <f>_xlfn.LOGNORM.DIST(C539,Dataset!J$62,Dataset!J$63,TRUE)</f>
        <v>0.34101710148718922</v>
      </c>
      <c r="H539" s="86">
        <f t="shared" si="42"/>
        <v>1.0171014871891981E-3</v>
      </c>
      <c r="I539" s="87">
        <f>EXP(-EXP(-(C539-Dataset!J$59)/Dataset!J$58))</f>
        <v>0.36816588170299436</v>
      </c>
      <c r="J539" s="86">
        <f t="shared" si="43"/>
        <v>2.8165881702994333E-2</v>
      </c>
    </row>
    <row r="540" spans="1:19" x14ac:dyDescent="0.3">
      <c r="A540" s="81">
        <v>1968</v>
      </c>
      <c r="B540" s="88">
        <v>58.139377127591302</v>
      </c>
      <c r="C540" s="53">
        <v>58.139377127591302</v>
      </c>
      <c r="D540" s="53">
        <v>18</v>
      </c>
      <c r="E540" s="86">
        <f t="shared" si="40"/>
        <v>-0.41677581201567543</v>
      </c>
      <c r="F540" s="86">
        <f t="shared" si="41"/>
        <v>0.36</v>
      </c>
      <c r="G540" s="86">
        <f>_xlfn.LOGNORM.DIST(C540,Dataset!J$62,Dataset!J$63,TRUE)</f>
        <v>0.35367793857249685</v>
      </c>
      <c r="H540" s="86">
        <f t="shared" si="42"/>
        <v>6.3220614275031339E-3</v>
      </c>
      <c r="I540" s="87">
        <f>EXP(-EXP(-(C540-Dataset!J$59)/Dataset!J$58))</f>
        <v>0.38356609541039227</v>
      </c>
      <c r="J540" s="86">
        <f t="shared" si="43"/>
        <v>2.3566095410392285E-2</v>
      </c>
    </row>
    <row r="541" spans="1:19" x14ac:dyDescent="0.3">
      <c r="A541" s="81">
        <v>1969</v>
      </c>
      <c r="B541" s="88">
        <v>60.883616353419796</v>
      </c>
      <c r="C541" s="53">
        <v>58.920009720894903</v>
      </c>
      <c r="D541" s="53">
        <v>19</v>
      </c>
      <c r="E541" s="86">
        <f t="shared" si="40"/>
        <v>-0.29312624846959606</v>
      </c>
      <c r="F541" s="86">
        <f t="shared" si="41"/>
        <v>0.38</v>
      </c>
      <c r="G541" s="86">
        <f>_xlfn.LOGNORM.DIST(C541,Dataset!J$62,Dataset!J$63,TRUE)</f>
        <v>0.4025784509333013</v>
      </c>
      <c r="H541" s="86">
        <f t="shared" si="42"/>
        <v>2.2578450933301297E-2</v>
      </c>
      <c r="I541" s="87">
        <f>EXP(-EXP(-(C541-Dataset!J$59)/Dataset!J$58))</f>
        <v>0.44143992483723898</v>
      </c>
      <c r="J541" s="86">
        <f t="shared" si="43"/>
        <v>6.1439924837238979E-2</v>
      </c>
    </row>
    <row r="542" spans="1:19" x14ac:dyDescent="0.3">
      <c r="A542" s="81">
        <v>1970</v>
      </c>
      <c r="B542" s="88">
        <v>61.015799883517097</v>
      </c>
      <c r="C542" s="53">
        <v>59.090861228189603</v>
      </c>
      <c r="D542" s="53">
        <v>20</v>
      </c>
      <c r="E542" s="86">
        <f t="shared" si="40"/>
        <v>-0.26606394734433003</v>
      </c>
      <c r="F542" s="86">
        <f t="shared" si="41"/>
        <v>0.4</v>
      </c>
      <c r="G542" s="86">
        <f>_xlfn.LOGNORM.DIST(C542,Dataset!J$62,Dataset!J$63,TRUE)</f>
        <v>0.41342947748260517</v>
      </c>
      <c r="H542" s="86">
        <f t="shared" si="42"/>
        <v>1.3429477482605146E-2</v>
      </c>
      <c r="I542" s="87">
        <f>EXP(-EXP(-(C542-Dataset!J$59)/Dataset!J$58))</f>
        <v>0.45392745664935485</v>
      </c>
      <c r="J542" s="86">
        <f t="shared" si="43"/>
        <v>5.3927456649354832E-2</v>
      </c>
    </row>
    <row r="543" spans="1:19" x14ac:dyDescent="0.3">
      <c r="A543" s="81">
        <v>1971</v>
      </c>
      <c r="B543" s="88">
        <v>68.679210587990298</v>
      </c>
      <c r="C543" s="53">
        <v>59.322106987346899</v>
      </c>
      <c r="D543" s="53">
        <v>21</v>
      </c>
      <c r="E543" s="86">
        <f t="shared" si="40"/>
        <v>-0.22943540091037268</v>
      </c>
      <c r="F543" s="86">
        <f t="shared" si="41"/>
        <v>0.42</v>
      </c>
      <c r="G543" s="86">
        <f>_xlfn.LOGNORM.DIST(C543,Dataset!J$62,Dataset!J$63,TRUE)</f>
        <v>0.42817026285059911</v>
      </c>
      <c r="H543" s="86">
        <f t="shared" si="42"/>
        <v>8.1702628505991304E-3</v>
      </c>
      <c r="I543" s="87">
        <f>EXP(-EXP(-(C543-Dataset!J$59)/Dataset!J$58))</f>
        <v>0.47068264417383754</v>
      </c>
      <c r="J543" s="86">
        <f t="shared" si="43"/>
        <v>5.0682644173837554E-2</v>
      </c>
    </row>
    <row r="544" spans="1:19" x14ac:dyDescent="0.3">
      <c r="A544" s="81">
        <v>1972</v>
      </c>
      <c r="B544" s="88">
        <v>63.579064996158102</v>
      </c>
      <c r="C544" s="53">
        <v>59.6546205178498</v>
      </c>
      <c r="D544" s="53">
        <v>22</v>
      </c>
      <c r="E544" s="86">
        <f t="shared" si="40"/>
        <v>-0.17676638187050372</v>
      </c>
      <c r="F544" s="86">
        <f t="shared" si="41"/>
        <v>0.44</v>
      </c>
      <c r="G544" s="86">
        <f>_xlfn.LOGNORM.DIST(C544,Dataset!J$62,Dataset!J$63,TRUE)</f>
        <v>0.44943642588204669</v>
      </c>
      <c r="H544" s="86">
        <f t="shared" si="42"/>
        <v>9.436425882046684E-3</v>
      </c>
      <c r="I544" s="87">
        <f>EXP(-EXP(-(C544-Dataset!J$59)/Dataset!J$58))</f>
        <v>0.49443119910110744</v>
      </c>
      <c r="J544" s="86">
        <f t="shared" si="43"/>
        <v>5.4431199101107441E-2</v>
      </c>
    </row>
    <row r="545" spans="1:10" x14ac:dyDescent="0.3">
      <c r="A545" s="81">
        <v>1973</v>
      </c>
      <c r="B545" s="88">
        <v>66.4666288184699</v>
      </c>
      <c r="C545" s="53">
        <v>59.8021868564676</v>
      </c>
      <c r="D545" s="53">
        <v>23</v>
      </c>
      <c r="E545" s="86">
        <f t="shared" si="40"/>
        <v>-0.15339237273905623</v>
      </c>
      <c r="F545" s="86">
        <f t="shared" si="41"/>
        <v>0.46</v>
      </c>
      <c r="G545" s="86">
        <f>_xlfn.LOGNORM.DIST(C545,Dataset!J$62,Dataset!J$63,TRUE)</f>
        <v>0.45888644239712184</v>
      </c>
      <c r="H545" s="86">
        <f t="shared" si="42"/>
        <v>1.1135576028781791E-3</v>
      </c>
      <c r="I545" s="87">
        <f>EXP(-EXP(-(C545-Dataset!J$59)/Dataset!J$58))</f>
        <v>0.50482418304777588</v>
      </c>
      <c r="J545" s="86">
        <f t="shared" si="43"/>
        <v>4.4824183047775856E-2</v>
      </c>
    </row>
    <row r="546" spans="1:10" x14ac:dyDescent="0.3">
      <c r="A546" s="81">
        <v>1974</v>
      </c>
      <c r="B546" s="88">
        <v>64.499990258012701</v>
      </c>
      <c r="C546" s="53">
        <v>59.831140167814198</v>
      </c>
      <c r="D546" s="53">
        <v>24</v>
      </c>
      <c r="E546" s="86">
        <f t="shared" si="40"/>
        <v>-0.14880626610972641</v>
      </c>
      <c r="F546" s="86">
        <f t="shared" si="41"/>
        <v>0.48</v>
      </c>
      <c r="G546" s="86">
        <f>_xlfn.LOGNORM.DIST(C546,Dataset!J$62,Dataset!J$63,TRUE)</f>
        <v>0.46074074571514123</v>
      </c>
      <c r="H546" s="86">
        <f t="shared" si="42"/>
        <v>1.9259254284858751E-2</v>
      </c>
      <c r="I546" s="87">
        <f>EXP(-EXP(-(C546-Dataset!J$59)/Dataset!J$58))</f>
        <v>0.50685199910685164</v>
      </c>
      <c r="J546" s="86">
        <f t="shared" si="43"/>
        <v>2.6851999106851654E-2</v>
      </c>
    </row>
    <row r="547" spans="1:10" x14ac:dyDescent="0.3">
      <c r="A547" s="81">
        <v>1975</v>
      </c>
      <c r="B547" s="88">
        <v>65.296308074381002</v>
      </c>
      <c r="C547" s="53">
        <v>60.035797403123603</v>
      </c>
      <c r="D547" s="53">
        <v>25</v>
      </c>
      <c r="E547" s="86">
        <f t="shared" si="40"/>
        <v>-0.11638925196039104</v>
      </c>
      <c r="F547" s="86">
        <f t="shared" si="41"/>
        <v>0.5</v>
      </c>
      <c r="G547" s="86">
        <f>_xlfn.LOGNORM.DIST(C547,Dataset!J$62,Dataset!J$63,TRUE)</f>
        <v>0.47384436684861497</v>
      </c>
      <c r="H547" s="86">
        <f t="shared" si="42"/>
        <v>2.6155633151385027E-2</v>
      </c>
      <c r="I547" s="87">
        <f>EXP(-EXP(-(C547-Dataset!J$59)/Dataset!J$58))</f>
        <v>0.52107449510019843</v>
      </c>
      <c r="J547" s="86">
        <f t="shared" si="43"/>
        <v>2.1074495100198432E-2</v>
      </c>
    </row>
    <row r="548" spans="1:10" x14ac:dyDescent="0.3">
      <c r="A548" s="81">
        <v>1976</v>
      </c>
      <c r="B548" s="88">
        <v>54.966830915636201</v>
      </c>
      <c r="C548" s="53">
        <v>60.277911593894203</v>
      </c>
      <c r="D548" s="53">
        <v>26</v>
      </c>
      <c r="E548" s="86">
        <f t="shared" si="40"/>
        <v>-7.8039182703862078E-2</v>
      </c>
      <c r="F548" s="86">
        <f t="shared" si="41"/>
        <v>0.52</v>
      </c>
      <c r="G548" s="86">
        <f>_xlfn.LOGNORM.DIST(C548,Dataset!J$62,Dataset!J$63,TRUE)</f>
        <v>0.48932402050753154</v>
      </c>
      <c r="H548" s="86">
        <f t="shared" si="42"/>
        <v>3.0675979492468475E-2</v>
      </c>
      <c r="I548" s="87">
        <f>EXP(-EXP(-(C548-Dataset!J$59)/Dataset!J$58))</f>
        <v>0.53763522253719875</v>
      </c>
      <c r="J548" s="86">
        <f t="shared" si="43"/>
        <v>1.7635222537198736E-2</v>
      </c>
    </row>
    <row r="549" spans="1:10" x14ac:dyDescent="0.3">
      <c r="A549" s="81">
        <v>1977</v>
      </c>
      <c r="B549" s="88">
        <v>53.944046389544702</v>
      </c>
      <c r="C549" s="53">
        <v>60.862342503881003</v>
      </c>
      <c r="D549" s="53">
        <v>27</v>
      </c>
      <c r="E549" s="86">
        <f t="shared" si="40"/>
        <v>1.4532697541216163E-2</v>
      </c>
      <c r="F549" s="86">
        <f t="shared" si="41"/>
        <v>0.54</v>
      </c>
      <c r="G549" s="86">
        <f>_xlfn.LOGNORM.DIST(C549,Dataset!J$62,Dataset!J$63,TRUE)</f>
        <v>0.52645633882721765</v>
      </c>
      <c r="H549" s="86">
        <f t="shared" si="42"/>
        <v>1.3543661172782384E-2</v>
      </c>
      <c r="I549" s="87">
        <f>EXP(-EXP(-(C549-Dataset!J$59)/Dataset!J$58))</f>
        <v>0.5763156047842658</v>
      </c>
      <c r="J549" s="86">
        <f t="shared" si="43"/>
        <v>3.6315604784265765E-2</v>
      </c>
    </row>
    <row r="550" spans="1:10" x14ac:dyDescent="0.3">
      <c r="A550" s="81">
        <v>1978</v>
      </c>
      <c r="B550" s="88">
        <v>64.299216472852507</v>
      </c>
      <c r="C550" s="53">
        <v>60.883616353419796</v>
      </c>
      <c r="D550" s="53">
        <v>28</v>
      </c>
      <c r="E550" s="86">
        <f t="shared" si="40"/>
        <v>1.790240338360824E-2</v>
      </c>
      <c r="F550" s="86">
        <f t="shared" si="41"/>
        <v>0.56000000000000005</v>
      </c>
      <c r="G550" s="86">
        <f>_xlfn.LOGNORM.DIST(C550,Dataset!J$62,Dataset!J$63,TRUE)</f>
        <v>0.52779889266843605</v>
      </c>
      <c r="H550" s="86">
        <f t="shared" si="42"/>
        <v>3.2201107331564005E-2</v>
      </c>
      <c r="I550" s="87">
        <f>EXP(-EXP(-(C550-Dataset!J$59)/Dataset!J$58))</f>
        <v>0.57768694005099341</v>
      </c>
      <c r="J550" s="86">
        <f t="shared" si="43"/>
        <v>1.7686940050993361E-2</v>
      </c>
    </row>
    <row r="551" spans="1:10" x14ac:dyDescent="0.3">
      <c r="A551" s="81">
        <v>1979</v>
      </c>
      <c r="B551" s="88">
        <v>55.779014555054403</v>
      </c>
      <c r="C551" s="53">
        <v>61.015799883517097</v>
      </c>
      <c r="D551" s="53">
        <v>29</v>
      </c>
      <c r="E551" s="86">
        <f t="shared" si="40"/>
        <v>3.8839827652997733E-2</v>
      </c>
      <c r="F551" s="86">
        <f t="shared" si="41"/>
        <v>0.57999999999999996</v>
      </c>
      <c r="G551" s="86">
        <f>_xlfn.LOGNORM.DIST(C551,Dataset!J$62,Dataset!J$63,TRUE)</f>
        <v>0.53612260696686542</v>
      </c>
      <c r="H551" s="86">
        <f t="shared" si="42"/>
        <v>4.3877393033134537E-2</v>
      </c>
      <c r="I551" s="87">
        <f>EXP(-EXP(-(C551-Dataset!J$59)/Dataset!J$58))</f>
        <v>0.58614741718795815</v>
      </c>
      <c r="J551" s="86">
        <f t="shared" si="43"/>
        <v>6.1474171879581929E-3</v>
      </c>
    </row>
    <row r="552" spans="1:10" x14ac:dyDescent="0.3">
      <c r="A552" s="81">
        <v>1980</v>
      </c>
      <c r="B552" s="88">
        <v>55.665953503827097</v>
      </c>
      <c r="C552" s="53">
        <v>62.2592463450232</v>
      </c>
      <c r="D552" s="53">
        <v>30</v>
      </c>
      <c r="E552" s="86">
        <f t="shared" si="40"/>
        <v>0.23579754319940702</v>
      </c>
      <c r="F552" s="86">
        <f t="shared" si="41"/>
        <v>0.6</v>
      </c>
      <c r="G552" s="86">
        <f>_xlfn.LOGNORM.DIST(C552,Dataset!J$62,Dataset!J$63,TRUE)</f>
        <v>0.61232595508401322</v>
      </c>
      <c r="H552" s="86">
        <f t="shared" si="42"/>
        <v>1.232595508401324E-2</v>
      </c>
      <c r="I552" s="87">
        <f>EXP(-EXP(-(C552-Dataset!J$59)/Dataset!J$58))</f>
        <v>0.66038176900790868</v>
      </c>
      <c r="J552" s="86">
        <f t="shared" si="43"/>
        <v>6.0381769007908703E-2</v>
      </c>
    </row>
    <row r="553" spans="1:10" x14ac:dyDescent="0.3">
      <c r="A553" s="81">
        <v>1981</v>
      </c>
      <c r="B553" s="88">
        <v>59.322106987346899</v>
      </c>
      <c r="C553" s="53">
        <v>62.991102242347097</v>
      </c>
      <c r="D553" s="53">
        <v>31</v>
      </c>
      <c r="E553" s="86">
        <f t="shared" si="40"/>
        <v>0.35172104301096252</v>
      </c>
      <c r="F553" s="86">
        <f t="shared" si="41"/>
        <v>0.62</v>
      </c>
      <c r="G553" s="86">
        <f>_xlfn.LOGNORM.DIST(C553,Dataset!J$62,Dataset!J$63,TRUE)</f>
        <v>0.65475155489859194</v>
      </c>
      <c r="H553" s="86">
        <f t="shared" si="42"/>
        <v>3.4751554898591941E-2</v>
      </c>
      <c r="I553" s="87">
        <f>EXP(-EXP(-(C553-Dataset!J$59)/Dataset!J$58))</f>
        <v>0.69934489951210976</v>
      </c>
      <c r="J553" s="86">
        <f t="shared" si="43"/>
        <v>7.9344899512109768E-2</v>
      </c>
    </row>
    <row r="554" spans="1:10" x14ac:dyDescent="0.3">
      <c r="A554" s="81">
        <v>1982</v>
      </c>
      <c r="B554" s="88">
        <v>58.920009720894903</v>
      </c>
      <c r="C554" s="53">
        <v>63.579064996158102</v>
      </c>
      <c r="D554" s="53">
        <v>32</v>
      </c>
      <c r="E554" s="86">
        <f t="shared" si="40"/>
        <v>0.44485235537701823</v>
      </c>
      <c r="F554" s="86">
        <f t="shared" si="41"/>
        <v>0.64</v>
      </c>
      <c r="G554" s="86">
        <f>_xlfn.LOGNORM.DIST(C554,Dataset!J$62,Dataset!J$63,TRUE)</f>
        <v>0.68717300657772029</v>
      </c>
      <c r="H554" s="86">
        <f t="shared" si="42"/>
        <v>4.7173006577720278E-2</v>
      </c>
      <c r="I554" s="87">
        <f>EXP(-EXP(-(C554-Dataset!J$59)/Dataset!J$58))</f>
        <v>0.72807743987424922</v>
      </c>
      <c r="J554" s="86">
        <f t="shared" si="43"/>
        <v>8.8077439874249208E-2</v>
      </c>
    </row>
    <row r="555" spans="1:10" x14ac:dyDescent="0.3">
      <c r="A555" s="81">
        <v>1983</v>
      </c>
      <c r="B555" s="88">
        <v>49.282785542673203</v>
      </c>
      <c r="C555" s="53">
        <v>63.634990010969098</v>
      </c>
      <c r="D555" s="53">
        <v>33</v>
      </c>
      <c r="E555" s="86">
        <f t="shared" ref="E555:E572" si="44">(C555-B$574)/B$575</f>
        <v>0.4537106886467363</v>
      </c>
      <c r="F555" s="86">
        <f t="shared" si="41"/>
        <v>0.66</v>
      </c>
      <c r="G555" s="86">
        <f>_xlfn.LOGNORM.DIST(C555,Dataset!J$62,Dataset!J$63,TRUE)</f>
        <v>0.69017239006935394</v>
      </c>
      <c r="H555" s="86">
        <f t="shared" si="42"/>
        <v>3.0172390069353905E-2</v>
      </c>
      <c r="I555" s="87">
        <f>EXP(-EXP(-(C555-Dataset!J$59)/Dataset!J$58))</f>
        <v>0.73069238196466424</v>
      </c>
      <c r="J555" s="86">
        <f t="shared" si="43"/>
        <v>7.0692381964664208E-2</v>
      </c>
    </row>
    <row r="556" spans="1:10" x14ac:dyDescent="0.3">
      <c r="A556" s="81">
        <v>1984</v>
      </c>
      <c r="B556" s="88">
        <v>72.102064230168395</v>
      </c>
      <c r="C556" s="53">
        <v>63.674269142756302</v>
      </c>
      <c r="D556" s="53">
        <v>34</v>
      </c>
      <c r="E556" s="86">
        <f t="shared" si="44"/>
        <v>0.45993237032339135</v>
      </c>
      <c r="F556" s="86">
        <f t="shared" si="41"/>
        <v>0.68</v>
      </c>
      <c r="G556" s="86">
        <f>_xlfn.LOGNORM.DIST(C556,Dataset!J$62,Dataset!J$63,TRUE)</f>
        <v>0.69226992318735348</v>
      </c>
      <c r="H556" s="86">
        <f t="shared" si="42"/>
        <v>1.2269923187353426E-2</v>
      </c>
      <c r="I556" s="87">
        <f>EXP(-EXP(-(C556-Dataset!J$59)/Dataset!J$58))</f>
        <v>0.7325168517100793</v>
      </c>
      <c r="J556" s="86">
        <f t="shared" si="43"/>
        <v>5.2516851710079249E-2</v>
      </c>
    </row>
    <row r="557" spans="1:10" x14ac:dyDescent="0.3">
      <c r="A557" s="81">
        <v>1985</v>
      </c>
      <c r="B557" s="88">
        <v>64.860664381237996</v>
      </c>
      <c r="C557" s="53">
        <v>64.299216472852507</v>
      </c>
      <c r="D557" s="53">
        <v>35</v>
      </c>
      <c r="E557" s="86">
        <f t="shared" si="44"/>
        <v>0.55892191453222506</v>
      </c>
      <c r="F557" s="86">
        <f t="shared" si="41"/>
        <v>0.7</v>
      </c>
      <c r="G557" s="86">
        <f>_xlfn.LOGNORM.DIST(C557,Dataset!J$62,Dataset!J$63,TRUE)</f>
        <v>0.72460024064514383</v>
      </c>
      <c r="H557" s="86">
        <f t="shared" si="42"/>
        <v>2.4600240645143878E-2</v>
      </c>
      <c r="I557" s="87">
        <f>EXP(-EXP(-(C557-Dataset!J$59)/Dataset!J$58))</f>
        <v>0.76021380229111846</v>
      </c>
      <c r="J557" s="86">
        <f t="shared" si="43"/>
        <v>6.0213802291118501E-2</v>
      </c>
    </row>
    <row r="558" spans="1:10" x14ac:dyDescent="0.3">
      <c r="A558" s="81">
        <v>1986</v>
      </c>
      <c r="B558" s="88">
        <v>63.634990010969098</v>
      </c>
      <c r="C558" s="53">
        <v>64.499990258012701</v>
      </c>
      <c r="D558" s="53">
        <v>36</v>
      </c>
      <c r="E558" s="86">
        <f t="shared" si="44"/>
        <v>0.59072380330744467</v>
      </c>
      <c r="F558" s="86">
        <f t="shared" si="41"/>
        <v>0.72</v>
      </c>
      <c r="G558" s="86">
        <f>_xlfn.LOGNORM.DIST(C558,Dataset!J$62,Dataset!J$63,TRUE)</f>
        <v>0.73455665419998484</v>
      </c>
      <c r="H558" s="86">
        <f t="shared" si="42"/>
        <v>1.4556654199984864E-2</v>
      </c>
      <c r="I558" s="87">
        <f>EXP(-EXP(-(C558-Dataset!J$59)/Dataset!J$58))</f>
        <v>0.76858954350069941</v>
      </c>
      <c r="J558" s="86">
        <f t="shared" si="43"/>
        <v>4.8589543500699439E-2</v>
      </c>
    </row>
    <row r="559" spans="1:10" x14ac:dyDescent="0.3">
      <c r="A559" s="81">
        <v>1987</v>
      </c>
      <c r="B559" s="88">
        <v>69.406336318973004</v>
      </c>
      <c r="C559" s="53">
        <v>64.667595634379893</v>
      </c>
      <c r="D559" s="53">
        <v>37</v>
      </c>
      <c r="E559" s="86">
        <f t="shared" si="44"/>
        <v>0.61727192826860633</v>
      </c>
      <c r="F559" s="86">
        <f t="shared" si="41"/>
        <v>0.74</v>
      </c>
      <c r="G559" s="86">
        <f>_xlfn.LOGNORM.DIST(C559,Dataset!J$62,Dataset!J$63,TRUE)</f>
        <v>0.74270292843962649</v>
      </c>
      <c r="H559" s="86">
        <f t="shared" si="42"/>
        <v>2.7029284396264952E-3</v>
      </c>
      <c r="I559" s="87">
        <f>EXP(-EXP(-(C559-Dataset!J$59)/Dataset!J$58))</f>
        <v>0.77539153395391935</v>
      </c>
      <c r="J559" s="86">
        <f t="shared" si="43"/>
        <v>3.5391533953919363E-2</v>
      </c>
    </row>
    <row r="560" spans="1:10" x14ac:dyDescent="0.3">
      <c r="A560" s="81">
        <v>1988</v>
      </c>
      <c r="B560" s="88">
        <v>53.904296873825402</v>
      </c>
      <c r="C560" s="53">
        <v>64.860664381237996</v>
      </c>
      <c r="D560" s="53">
        <v>38</v>
      </c>
      <c r="E560" s="86">
        <f t="shared" si="44"/>
        <v>0.64785336502666424</v>
      </c>
      <c r="F560" s="86">
        <f t="shared" si="41"/>
        <v>0.76</v>
      </c>
      <c r="G560" s="86">
        <f>_xlfn.LOGNORM.DIST(C560,Dataset!J$62,Dataset!J$63,TRUE)</f>
        <v>0.75189774769345863</v>
      </c>
      <c r="H560" s="86">
        <f t="shared" si="42"/>
        <v>8.1022523065413798E-3</v>
      </c>
      <c r="I560" s="87">
        <f>EXP(-EXP(-(C560-Dataset!J$59)/Dataset!J$58))</f>
        <v>0.78301573289414717</v>
      </c>
      <c r="J560" s="86">
        <f t="shared" si="43"/>
        <v>2.3015732894147156E-2</v>
      </c>
    </row>
    <row r="561" spans="1:10" x14ac:dyDescent="0.3">
      <c r="A561" s="81">
        <v>1989</v>
      </c>
      <c r="B561" s="88">
        <v>50.298016714873803</v>
      </c>
      <c r="C561" s="53">
        <v>65.296308074381002</v>
      </c>
      <c r="D561" s="53">
        <v>39</v>
      </c>
      <c r="E561" s="86">
        <f t="shared" si="44"/>
        <v>0.71685785315695316</v>
      </c>
      <c r="F561" s="86">
        <f t="shared" si="41"/>
        <v>0.78</v>
      </c>
      <c r="G561" s="86">
        <f>_xlfn.LOGNORM.DIST(C561,Dataset!J$62,Dataset!J$63,TRUE)</f>
        <v>0.77188955055861164</v>
      </c>
      <c r="H561" s="86">
        <f t="shared" si="42"/>
        <v>8.1104494413883899E-3</v>
      </c>
      <c r="I561" s="87">
        <f>EXP(-EXP(-(C561-Dataset!J$59)/Dataset!J$58))</f>
        <v>0.79940734580303185</v>
      </c>
      <c r="J561" s="86">
        <f t="shared" si="43"/>
        <v>1.9407345803031828E-2</v>
      </c>
    </row>
    <row r="562" spans="1:10" x14ac:dyDescent="0.3">
      <c r="A562" s="81">
        <v>1990</v>
      </c>
      <c r="B562" s="88">
        <v>55.550343341088698</v>
      </c>
      <c r="C562" s="53">
        <v>66.4666288184699</v>
      </c>
      <c r="D562" s="53">
        <v>40</v>
      </c>
      <c r="E562" s="86">
        <f t="shared" si="44"/>
        <v>0.90223270229451025</v>
      </c>
      <c r="F562" s="86">
        <f t="shared" si="41"/>
        <v>0.8</v>
      </c>
      <c r="G562" s="86">
        <f>_xlfn.LOGNORM.DIST(C562,Dataset!J$62,Dataset!J$63,TRUE)</f>
        <v>0.82030880090909453</v>
      </c>
      <c r="H562" s="86">
        <f t="shared" si="42"/>
        <v>2.0308800909094482E-2</v>
      </c>
      <c r="I562" s="87">
        <f>EXP(-EXP(-(C562-Dataset!J$59)/Dataset!J$58))</f>
        <v>0.83819096574700869</v>
      </c>
      <c r="J562" s="86">
        <f t="shared" si="43"/>
        <v>3.8190965747008643E-2</v>
      </c>
    </row>
    <row r="563" spans="1:10" x14ac:dyDescent="0.3">
      <c r="A563" s="81">
        <v>1991</v>
      </c>
      <c r="B563" s="88">
        <v>72.991569825834006</v>
      </c>
      <c r="C563" s="53">
        <v>66.611365643255994</v>
      </c>
      <c r="D563" s="53">
        <v>41</v>
      </c>
      <c r="E563" s="86">
        <f t="shared" si="44"/>
        <v>0.92515852600129156</v>
      </c>
      <c r="F563" s="86">
        <f t="shared" si="41"/>
        <v>0.82</v>
      </c>
      <c r="G563" s="86">
        <f>_xlfn.LOGNORM.DIST(C563,Dataset!J$62,Dataset!J$63,TRUE)</f>
        <v>0.82575885553625183</v>
      </c>
      <c r="H563" s="86">
        <f t="shared" si="42"/>
        <v>5.7588555362518834E-3</v>
      </c>
      <c r="I563" s="87">
        <f>EXP(-EXP(-(C563-Dataset!J$59)/Dataset!J$58))</f>
        <v>0.84248890455433034</v>
      </c>
      <c r="J563" s="86">
        <f t="shared" si="43"/>
        <v>2.2488904554330391E-2</v>
      </c>
    </row>
    <row r="564" spans="1:10" x14ac:dyDescent="0.3">
      <c r="A564" s="81">
        <v>1992</v>
      </c>
      <c r="B564" s="88">
        <v>54.991430346918598</v>
      </c>
      <c r="C564" s="53">
        <v>66.864007614507997</v>
      </c>
      <c r="D564" s="53">
        <v>42</v>
      </c>
      <c r="E564" s="86">
        <f t="shared" si="44"/>
        <v>0.96517616009280327</v>
      </c>
      <c r="F564" s="86">
        <f t="shared" si="41"/>
        <v>0.84</v>
      </c>
      <c r="G564" s="86">
        <f>_xlfn.LOGNORM.DIST(C564,Dataset!J$62,Dataset!J$63,TRUE)</f>
        <v>0.83499032026792219</v>
      </c>
      <c r="H564" s="86">
        <f t="shared" si="42"/>
        <v>5.0096797320777764E-3</v>
      </c>
      <c r="I564" s="87">
        <f>EXP(-EXP(-(C564-Dataset!J$59)/Dataset!J$58))</f>
        <v>0.84974431481093604</v>
      </c>
      <c r="J564" s="86">
        <f t="shared" si="43"/>
        <v>9.7443148109360722E-3</v>
      </c>
    </row>
    <row r="565" spans="1:10" x14ac:dyDescent="0.3">
      <c r="A565" s="81">
        <v>1993</v>
      </c>
      <c r="B565" s="88">
        <v>59.831140167814198</v>
      </c>
      <c r="C565" s="53">
        <v>67.4022869440101</v>
      </c>
      <c r="D565" s="53">
        <v>43</v>
      </c>
      <c r="E565" s="86">
        <f t="shared" si="44"/>
        <v>1.0504377860225391</v>
      </c>
      <c r="F565" s="86">
        <f t="shared" si="41"/>
        <v>0.86</v>
      </c>
      <c r="G565" s="86">
        <f>_xlfn.LOGNORM.DIST(C565,Dataset!J$62,Dataset!J$63,TRUE)</f>
        <v>0.85347719404005529</v>
      </c>
      <c r="H565" s="86">
        <f t="shared" si="42"/>
        <v>6.5228059599446997E-3</v>
      </c>
      <c r="I565" s="87">
        <f>EXP(-EXP(-(C565-Dataset!J$59)/Dataset!J$58))</f>
        <v>0.86419771124681088</v>
      </c>
      <c r="J565" s="86">
        <f t="shared" si="43"/>
        <v>4.1977112468108979E-3</v>
      </c>
    </row>
    <row r="566" spans="1:10" x14ac:dyDescent="0.3">
      <c r="A566" s="81">
        <v>1994</v>
      </c>
      <c r="B566" s="88">
        <v>64.667595634379893</v>
      </c>
      <c r="C566" s="53">
        <v>68.679210587990298</v>
      </c>
      <c r="D566" s="53">
        <v>44</v>
      </c>
      <c r="E566" s="86">
        <f t="shared" si="44"/>
        <v>1.2526981740901615</v>
      </c>
      <c r="F566" s="86">
        <f t="shared" si="41"/>
        <v>0.88</v>
      </c>
      <c r="G566" s="86">
        <f>_xlfn.LOGNORM.DIST(C566,Dataset!J$62,Dataset!J$63,TRUE)</f>
        <v>0.89113820917327335</v>
      </c>
      <c r="H566" s="86">
        <f t="shared" si="42"/>
        <v>1.113820917327335E-2</v>
      </c>
      <c r="I566" s="87">
        <f>EXP(-EXP(-(C566-Dataset!J$59)/Dataset!J$58))</f>
        <v>0.89350461797881287</v>
      </c>
      <c r="J566" s="86">
        <f t="shared" si="43"/>
        <v>1.3504617978812861E-2</v>
      </c>
    </row>
    <row r="567" spans="1:10" x14ac:dyDescent="0.3">
      <c r="A567" s="81">
        <v>1995</v>
      </c>
      <c r="B567" s="88">
        <v>57.933254783896103</v>
      </c>
      <c r="C567" s="53">
        <v>69.406336318973004</v>
      </c>
      <c r="D567" s="53">
        <v>45</v>
      </c>
      <c r="E567" s="86">
        <f t="shared" si="44"/>
        <v>1.3678724315454462</v>
      </c>
      <c r="F567" s="86">
        <f t="shared" si="41"/>
        <v>0.9</v>
      </c>
      <c r="G567" s="86">
        <f>_xlfn.LOGNORM.DIST(C567,Dataset!J$62,Dataset!J$63,TRUE)</f>
        <v>0.90893943367565821</v>
      </c>
      <c r="H567" s="86">
        <f t="shared" si="42"/>
        <v>8.9394336756581927E-3</v>
      </c>
      <c r="I567" s="87">
        <f>EXP(-EXP(-(C567-Dataset!J$59)/Dataset!J$58))</f>
        <v>0.90742875198227158</v>
      </c>
      <c r="J567" s="86">
        <f t="shared" si="43"/>
        <v>7.4287519822715531E-3</v>
      </c>
    </row>
    <row r="568" spans="1:10" x14ac:dyDescent="0.3">
      <c r="A568" s="81">
        <v>1996</v>
      </c>
      <c r="B568" s="88">
        <v>66.864007614507997</v>
      </c>
      <c r="C568" s="53">
        <v>69.931673468663703</v>
      </c>
      <c r="D568" s="53">
        <v>46</v>
      </c>
      <c r="E568" s="86">
        <f t="shared" si="44"/>
        <v>1.4510840599491468</v>
      </c>
      <c r="F568" s="86">
        <f t="shared" si="41"/>
        <v>0.92</v>
      </c>
      <c r="G568" s="86">
        <f>_xlfn.LOGNORM.DIST(C568,Dataset!J$62,Dataset!J$63,TRUE)</f>
        <v>0.92029097981448471</v>
      </c>
      <c r="H568" s="86">
        <f t="shared" si="42"/>
        <v>2.9097981448467092E-4</v>
      </c>
      <c r="I568" s="87">
        <f>EXP(-EXP(-(C568-Dataset!J$59)/Dataset!J$58))</f>
        <v>0.91639574110112243</v>
      </c>
      <c r="J568" s="86">
        <f t="shared" si="43"/>
        <v>3.6042588988776103E-3</v>
      </c>
    </row>
    <row r="569" spans="1:10" x14ac:dyDescent="0.3">
      <c r="A569" s="81">
        <v>1997</v>
      </c>
      <c r="B569" s="88">
        <v>62.2592463450232</v>
      </c>
      <c r="C569" s="53">
        <v>70.634659238347297</v>
      </c>
      <c r="D569" s="53">
        <v>47</v>
      </c>
      <c r="E569" s="86">
        <f t="shared" si="44"/>
        <v>1.5624346291492146</v>
      </c>
      <c r="F569" s="86">
        <f t="shared" si="41"/>
        <v>0.94</v>
      </c>
      <c r="G569" s="86">
        <f>_xlfn.LOGNORM.DIST(C569,Dataset!J$62,Dataset!J$63,TRUE)</f>
        <v>0.93365406405860929</v>
      </c>
      <c r="H569" s="86">
        <f t="shared" si="42"/>
        <v>6.3459359413906569E-3</v>
      </c>
      <c r="I569" s="87">
        <f>EXP(-EXP(-(C569-Dataset!J$59)/Dataset!J$58))</f>
        <v>0.92710575353464508</v>
      </c>
      <c r="J569" s="86">
        <f t="shared" si="43"/>
        <v>1.2894246465354864E-2</v>
      </c>
    </row>
    <row r="570" spans="1:10" x14ac:dyDescent="0.3">
      <c r="A570" s="81">
        <v>1998</v>
      </c>
      <c r="B570" s="88">
        <v>47.640249853581601</v>
      </c>
      <c r="C570" s="53">
        <v>72.102064230168395</v>
      </c>
      <c r="D570" s="53">
        <v>48</v>
      </c>
      <c r="E570" s="86">
        <f t="shared" si="44"/>
        <v>1.7948666187182825</v>
      </c>
      <c r="F570" s="86">
        <f t="shared" si="41"/>
        <v>0.96</v>
      </c>
      <c r="G570" s="86">
        <f>_xlfn.LOGNORM.DIST(C570,Dataset!J$62,Dataset!J$63,TRUE)</f>
        <v>0.9556248972487803</v>
      </c>
      <c r="H570" s="86">
        <f t="shared" si="42"/>
        <v>4.3751027512196616E-3</v>
      </c>
      <c r="I570" s="87">
        <f>EXP(-EXP(-(C570-Dataset!J$59)/Dataset!J$58))</f>
        <v>0.94537201083968569</v>
      </c>
      <c r="J570" s="86">
        <f t="shared" si="43"/>
        <v>1.462798916031427E-2</v>
      </c>
    </row>
    <row r="571" spans="1:10" x14ac:dyDescent="0.3">
      <c r="A571" s="81">
        <v>1999</v>
      </c>
      <c r="B571" s="88">
        <v>69.931673468663703</v>
      </c>
      <c r="C571" s="53">
        <v>72.894191562565894</v>
      </c>
      <c r="D571" s="53">
        <v>49</v>
      </c>
      <c r="E571" s="86">
        <f t="shared" si="44"/>
        <v>1.9203369100743826</v>
      </c>
      <c r="F571" s="86">
        <f t="shared" si="41"/>
        <v>0.98</v>
      </c>
      <c r="G571" s="86">
        <f>_xlfn.LOGNORM.DIST(C571,Dataset!J$62,Dataset!J$63,TRUE)</f>
        <v>0.96465667616592232</v>
      </c>
      <c r="H571" s="86">
        <f t="shared" si="42"/>
        <v>1.534332383407766E-2</v>
      </c>
      <c r="I571" s="87">
        <f>EXP(-EXP(-(C571-Dataset!J$59)/Dataset!J$58))</f>
        <v>0.9532992493670186</v>
      </c>
      <c r="J571" s="86">
        <f t="shared" si="43"/>
        <v>2.6700750632981385E-2</v>
      </c>
    </row>
    <row r="572" spans="1:10" x14ac:dyDescent="0.3">
      <c r="A572" s="81">
        <v>2000</v>
      </c>
      <c r="B572" s="88">
        <v>60.862342503881003</v>
      </c>
      <c r="C572" s="53">
        <v>72.991569825834006</v>
      </c>
      <c r="D572" s="53">
        <v>50</v>
      </c>
      <c r="E572" s="86">
        <f t="shared" si="44"/>
        <v>1.9357612977508198</v>
      </c>
      <c r="F572" s="86">
        <f t="shared" si="41"/>
        <v>1</v>
      </c>
      <c r="G572" s="86">
        <f>_xlfn.LOGNORM.DIST(C572,Dataset!J$62,Dataset!J$63,TRUE)</f>
        <v>0.96564868399232429</v>
      </c>
      <c r="H572" s="86">
        <f t="shared" si="42"/>
        <v>3.4351316007675714E-2</v>
      </c>
      <c r="I572" s="87">
        <f>EXP(-EXP(-(C572-Dataset!J$59)/Dataset!J$58))</f>
        <v>0.95419276612153381</v>
      </c>
      <c r="J572" s="86">
        <f t="shared" si="43"/>
        <v>4.5807233878466191E-2</v>
      </c>
    </row>
    <row r="574" spans="1:10" x14ac:dyDescent="0.3">
      <c r="A574" s="81" t="s">
        <v>12</v>
      </c>
      <c r="B574" s="53">
        <f>AVERAGE(C523:C572)</f>
        <v>60.77059371768275</v>
      </c>
      <c r="C574" s="80" t="s">
        <v>14</v>
      </c>
      <c r="D574" s="53">
        <v>50</v>
      </c>
      <c r="G574" s="91" t="s">
        <v>25</v>
      </c>
      <c r="H574" s="91">
        <f>MAX(H523:H572)</f>
        <v>6.0957412170504238E-2</v>
      </c>
      <c r="I574" s="91" t="s">
        <v>25</v>
      </c>
      <c r="J574" s="91">
        <f>MAX(J523:J572)</f>
        <v>8.8077439874249208E-2</v>
      </c>
    </row>
    <row r="575" spans="1:10" x14ac:dyDescent="0.3">
      <c r="A575" s="81" t="s">
        <v>13</v>
      </c>
      <c r="B575" s="53">
        <f>_xlfn.STDEV.S(C523:C572)</f>
        <v>6.3132660635125459</v>
      </c>
      <c r="C575" s="80" t="s">
        <v>15</v>
      </c>
      <c r="D575" s="53">
        <v>50</v>
      </c>
      <c r="G575" s="91" t="s">
        <v>23</v>
      </c>
      <c r="H575" s="91">
        <v>0.05</v>
      </c>
      <c r="I575" s="91" t="s">
        <v>23</v>
      </c>
      <c r="J575" s="91">
        <v>0.05</v>
      </c>
    </row>
    <row r="576" spans="1:10" x14ac:dyDescent="0.3">
      <c r="G576" s="91" t="s">
        <v>26</v>
      </c>
      <c r="H576" s="91">
        <v>0.19</v>
      </c>
      <c r="I576" s="91" t="s">
        <v>26</v>
      </c>
      <c r="J576" s="91">
        <v>0.19</v>
      </c>
    </row>
    <row r="577" spans="1:10" x14ac:dyDescent="0.3">
      <c r="G577" s="139" t="s">
        <v>32</v>
      </c>
      <c r="H577" s="139"/>
      <c r="I577" s="139"/>
      <c r="J577" s="139"/>
    </row>
    <row r="578" spans="1:10" x14ac:dyDescent="0.3">
      <c r="A578" s="141" t="s">
        <v>28</v>
      </c>
      <c r="B578" s="141"/>
      <c r="C578" s="141"/>
      <c r="D578" s="141"/>
      <c r="E578" s="141"/>
      <c r="F578" s="141"/>
      <c r="G578" s="141"/>
    </row>
    <row r="579" spans="1:10" x14ac:dyDescent="0.3">
      <c r="A579" s="138" t="s">
        <v>36</v>
      </c>
      <c r="B579" s="138"/>
      <c r="C579" s="138"/>
      <c r="E579" s="140" t="s">
        <v>37</v>
      </c>
      <c r="F579" s="140"/>
      <c r="G579" s="140"/>
    </row>
    <row r="580" spans="1:10" x14ac:dyDescent="0.3">
      <c r="A580" s="88" t="s">
        <v>29</v>
      </c>
      <c r="B580" s="53"/>
      <c r="C580" s="53" cm="1">
        <f t="array" ref="C580">-(SUM(LN(B523:B572)))-((50/2)*LN(Dataset!J$63^2))-((50/2)*LN(2*PI()))-((1/(2*Dataset!J$63^2))*SUM((LN(B523:B572)-Dataset!J$62)^2))</f>
        <v>-162.69686841483829</v>
      </c>
      <c r="E580" s="53" t="s">
        <v>29</v>
      </c>
      <c r="F580" s="53"/>
      <c r="G580" s="53" cm="1">
        <f t="array" ref="G580">-50*LN(Dataset!J$58) + 50*Dataset!J$59/Dataset!J$58 - SUM((B523:B572)/Dataset!J$58) -(EXP(Dataset!J$59/Dataset!J$58)*SUM(EXP(-(B523:B572)/Dataset!J$58)))</f>
        <v>-167.24859651562809</v>
      </c>
    </row>
    <row r="581" spans="1:10" x14ac:dyDescent="0.3">
      <c r="A581" s="90"/>
      <c r="B581" s="53"/>
      <c r="C581" s="53"/>
      <c r="E581" s="53"/>
      <c r="F581" s="53"/>
      <c r="G581" s="53"/>
    </row>
    <row r="582" spans="1:10" x14ac:dyDescent="0.3">
      <c r="A582" s="90" t="s">
        <v>30</v>
      </c>
      <c r="B582" s="53"/>
      <c r="C582" s="53">
        <f>-2*C580+2*2</f>
        <v>329.39373682967658</v>
      </c>
      <c r="E582" s="53" t="s">
        <v>30</v>
      </c>
      <c r="F582" s="53"/>
      <c r="G582" s="53">
        <f>-2*G580+2*2</f>
        <v>338.49719303125619</v>
      </c>
    </row>
    <row r="583" spans="1:10" x14ac:dyDescent="0.3">
      <c r="A583" s="90" t="s">
        <v>31</v>
      </c>
      <c r="B583" s="53"/>
      <c r="C583" s="53">
        <f>-2*C580+2*LN(50)</f>
        <v>333.21778284053289</v>
      </c>
      <c r="E583" s="53" t="s">
        <v>31</v>
      </c>
      <c r="F583" s="53"/>
      <c r="G583" s="53">
        <f>-2*G580+2*LN(50)</f>
        <v>342.3212390421125</v>
      </c>
    </row>
    <row r="584" spans="1:10" x14ac:dyDescent="0.3">
      <c r="A584" s="2" t="s">
        <v>48</v>
      </c>
    </row>
  </sheetData>
  <sortState xmlns:xlrd2="http://schemas.microsoft.com/office/spreadsheetml/2017/richdata2" ref="C523:C572">
    <sortCondition ref="C523:C572"/>
  </sortState>
  <mergeCells count="45">
    <mergeCell ref="E579:G579"/>
    <mergeCell ref="A253:G253"/>
    <mergeCell ref="A318:G318"/>
    <mergeCell ref="A383:G383"/>
    <mergeCell ref="A448:G448"/>
    <mergeCell ref="A513:G513"/>
    <mergeCell ref="A578:G578"/>
    <mergeCell ref="G317:J317"/>
    <mergeCell ref="G577:J577"/>
    <mergeCell ref="G512:J512"/>
    <mergeCell ref="G447:J447"/>
    <mergeCell ref="G382:J382"/>
    <mergeCell ref="A384:C384"/>
    <mergeCell ref="A579:C579"/>
    <mergeCell ref="A521:J521"/>
    <mergeCell ref="A456:J456"/>
    <mergeCell ref="E449:G449"/>
    <mergeCell ref="E514:G514"/>
    <mergeCell ref="A254:C254"/>
    <mergeCell ref="E189:G189"/>
    <mergeCell ref="E254:G254"/>
    <mergeCell ref="A449:C449"/>
    <mergeCell ref="A514:C514"/>
    <mergeCell ref="A391:J391"/>
    <mergeCell ref="A326:J326"/>
    <mergeCell ref="A261:J261"/>
    <mergeCell ref="A319:C319"/>
    <mergeCell ref="E319:G319"/>
    <mergeCell ref="E384:G384"/>
    <mergeCell ref="A189:C189"/>
    <mergeCell ref="G252:J252"/>
    <mergeCell ref="A1:J1"/>
    <mergeCell ref="A66:J66"/>
    <mergeCell ref="A123:G123"/>
    <mergeCell ref="A196:J196"/>
    <mergeCell ref="A131:J131"/>
    <mergeCell ref="A124:C124"/>
    <mergeCell ref="G122:J122"/>
    <mergeCell ref="G57:J57"/>
    <mergeCell ref="A58:G58"/>
    <mergeCell ref="A59:C59"/>
    <mergeCell ref="E59:G59"/>
    <mergeCell ref="E124:G124"/>
    <mergeCell ref="A188:G188"/>
    <mergeCell ref="G187:J1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8C09-3BE6-476B-BA5B-686E7249C688}">
  <dimension ref="B1:X85"/>
  <sheetViews>
    <sheetView topLeftCell="A49" zoomScale="98" zoomScaleNormal="104" workbookViewId="0">
      <selection activeCell="J62" sqref="J62"/>
    </sheetView>
  </sheetViews>
  <sheetFormatPr defaultRowHeight="14.4" x14ac:dyDescent="0.3"/>
  <sheetData>
    <row r="1" spans="2:17" x14ac:dyDescent="0.3">
      <c r="C1" s="137" t="s">
        <v>10</v>
      </c>
      <c r="D1" s="137"/>
      <c r="E1" s="137"/>
      <c r="F1" s="137"/>
      <c r="G1" s="137"/>
      <c r="H1" s="137"/>
      <c r="L1" s="137" t="s">
        <v>36</v>
      </c>
      <c r="M1" s="137"/>
      <c r="N1" s="137"/>
      <c r="O1" s="137"/>
      <c r="P1" s="137"/>
      <c r="Q1" s="137"/>
    </row>
    <row r="2" spans="2:17" ht="15" thickBot="1" x14ac:dyDescent="0.35">
      <c r="C2" s="152"/>
      <c r="D2" s="152"/>
      <c r="E2" s="152"/>
      <c r="F2" s="152"/>
      <c r="G2" s="152"/>
      <c r="H2" s="152"/>
      <c r="L2" s="152"/>
      <c r="M2" s="152"/>
      <c r="N2" s="152"/>
      <c r="O2" s="152"/>
      <c r="P2" s="152"/>
      <c r="Q2" s="152"/>
    </row>
    <row r="3" spans="2:17" ht="15" thickBot="1" x14ac:dyDescent="0.35">
      <c r="C3" s="153" t="s">
        <v>34</v>
      </c>
      <c r="D3" s="154"/>
      <c r="E3" s="154"/>
      <c r="F3" s="154"/>
      <c r="G3" s="154"/>
      <c r="H3" s="155"/>
      <c r="L3" s="153" t="s">
        <v>34</v>
      </c>
      <c r="M3" s="154"/>
      <c r="N3" s="154"/>
      <c r="O3" s="154"/>
      <c r="P3" s="154"/>
      <c r="Q3" s="155"/>
    </row>
    <row r="4" spans="2:17" x14ac:dyDescent="0.3">
      <c r="B4" s="149" t="s">
        <v>33</v>
      </c>
      <c r="C4" s="53"/>
      <c r="D4" s="53">
        <v>2</v>
      </c>
      <c r="E4" s="53">
        <v>5</v>
      </c>
      <c r="F4" s="53">
        <v>10</v>
      </c>
      <c r="G4" s="53">
        <v>25</v>
      </c>
      <c r="H4" s="53">
        <v>50</v>
      </c>
      <c r="K4" s="149" t="s">
        <v>33</v>
      </c>
      <c r="L4" s="53"/>
      <c r="M4" s="53">
        <v>2</v>
      </c>
      <c r="N4" s="53">
        <v>5</v>
      </c>
      <c r="O4" s="53">
        <v>10</v>
      </c>
      <c r="P4" s="53">
        <v>25</v>
      </c>
      <c r="Q4" s="53">
        <v>50</v>
      </c>
    </row>
    <row r="5" spans="2:17" ht="19.5" customHeight="1" x14ac:dyDescent="0.3">
      <c r="B5" s="150"/>
      <c r="C5" s="53">
        <v>5</v>
      </c>
      <c r="D5" s="53">
        <f>(Dataset!B$59 - Dataset!B$58*LN(LN('IDF Curve'!D$4/('IDF Curve'!D$4-1))))*60/C5</f>
        <v>23.819306612258028</v>
      </c>
      <c r="E5" s="53">
        <f>(Dataset!B$59 - Dataset!B$58*LN(LN('IDF Curve'!E$4/('IDF Curve'!E$4-1))))*60/C5</f>
        <v>25.937964635658467</v>
      </c>
      <c r="F5" s="53">
        <f>(Dataset!B$59 - Dataset!B$58*LN(LN('IDF Curve'!F$4/('IDF Curve'!F$4-1))))*60/C5</f>
        <v>27.340700597667016</v>
      </c>
      <c r="G5" s="53">
        <f>(Dataset!B$59 - Dataset!B$58*LN(LN('IDF Curve'!G$4/('IDF Curve'!G$4-1))))*60/C5</f>
        <v>29.11306120424576</v>
      </c>
      <c r="H5" s="53">
        <f>(Dataset!B$59 - Dataset!B$58*LN(LN('IDF Curve'!H$4/('IDF Curve'!H$4-1))))*60/C5</f>
        <v>30.427899549641143</v>
      </c>
      <c r="K5" s="150"/>
      <c r="L5" s="53">
        <v>5</v>
      </c>
      <c r="M5" s="53">
        <f>_xlfn.LOGNORM.INV(1-(1/M4), Dataset!B62,Dataset!B63)*60/L5</f>
        <v>24.095307536195055</v>
      </c>
      <c r="N5" s="53">
        <f>_xlfn.LOGNORM.INV(1-(1/N4), Dataset!B62,Dataset!B63)*60/L5</f>
        <v>26.183952810572737</v>
      </c>
      <c r="O5" s="53">
        <f>_xlfn.LOGNORM.INV(1-(1/O4), Dataset!B62,Dataset!B63)*60/L5</f>
        <v>27.346814793188145</v>
      </c>
      <c r="P5" s="53">
        <f>_xlfn.LOGNORM.INV(1-(1/P4), Dataset!B62,Dataset!B63)*60/L5</f>
        <v>28.643827558664093</v>
      </c>
      <c r="Q5" s="53">
        <f>_xlfn.LOGNORM.INV(1-(1/Q4), Dataset!B62,Dataset!B63)*60/L5</f>
        <v>29.514228322185005</v>
      </c>
    </row>
    <row r="6" spans="2:17" x14ac:dyDescent="0.3">
      <c r="B6" s="150"/>
      <c r="C6" s="53">
        <v>10</v>
      </c>
      <c r="D6" s="53">
        <f>(Dataset!C59 - Dataset!C58*LN(LN('IDF Curve'!D$4/('IDF Curve'!D$4-1))))*60/C6</f>
        <v>20.832345483185534</v>
      </c>
      <c r="E6" s="53">
        <f>(Dataset!C$59 - Dataset!C$58*LN(LN('IDF Curve'!E$4/('IDF Curve'!E$4-1))))*60/C6</f>
        <v>22.808572661748691</v>
      </c>
      <c r="F6" s="53">
        <f>(Dataset!C$59 - Dataset!C$58*LN(LN('IDF Curve'!F$4/('IDF Curve'!F$4-1))))*60/C6</f>
        <v>24.117007011158218</v>
      </c>
      <c r="G6" s="53">
        <f>(Dataset!C$59 - Dataset!C$58*LN(LN('IDF Curve'!G$4/('IDF Curve'!G$4-1))))*60/C6</f>
        <v>25.770217280229378</v>
      </c>
      <c r="H6" s="53">
        <f>(Dataset!C$59 - Dataset!C$58*LN(LN('IDF Curve'!H$4/('IDF Curve'!H$4-1))))*60/C6</f>
        <v>26.996663098708815</v>
      </c>
      <c r="K6" s="150"/>
      <c r="L6" s="53">
        <v>10</v>
      </c>
      <c r="M6" s="53">
        <f>_xlfn.LOGNORM.INV(1-(1/M4), Dataset!C62,Dataset!C63)*60/L6</f>
        <v>21.082723145011443</v>
      </c>
      <c r="N6" s="53">
        <f>_xlfn.LOGNORM.INV(1-(1/N4), Dataset!C62,Dataset!C63)*60/L6</f>
        <v>23.034383233092477</v>
      </c>
      <c r="O6" s="53">
        <f>_xlfn.LOGNORM.INV(1-(1/O4), Dataset!C62,Dataset!C63)*60/L6</f>
        <v>24.125427789887436</v>
      </c>
      <c r="P6" s="53">
        <f>_xlfn.LOGNORM.INV(1-(1/P4), Dataset!C62,Dataset!C63)*60/L6</f>
        <v>25.345896956953158</v>
      </c>
      <c r="Q6" s="53">
        <f>_xlfn.LOGNORM.INV(1-(1/Q4), Dataset!C62,Dataset!C63)*60/L6</f>
        <v>26.166958201012488</v>
      </c>
    </row>
    <row r="7" spans="2:17" x14ac:dyDescent="0.3">
      <c r="B7" s="150"/>
      <c r="C7" s="53">
        <v>15</v>
      </c>
      <c r="D7" s="53">
        <f>(Dataset!D$59 - Dataset!D$58*LN(LN('IDF Curve'!D$4/('IDF Curve'!D$4-1))))*60/C7</f>
        <v>23.846464241350979</v>
      </c>
      <c r="E7" s="53">
        <f>(Dataset!D$59 - Dataset!D$58*LN(LN('IDF Curve'!E$4/('IDF Curve'!E$4-1))))*60/C7</f>
        <v>25.839724273586896</v>
      </c>
      <c r="F7" s="53">
        <f>(Dataset!D$59 - Dataset!D$58*LN(LN('IDF Curve'!F$4/('IDF Curve'!F$4-1))))*60/C7</f>
        <v>27.159435854205292</v>
      </c>
      <c r="G7" s="53">
        <f>(Dataset!D$59 - Dataset!D$58*LN(LN('IDF Curve'!G$4/('IDF Curve'!G$4-1))))*60/C7</f>
        <v>28.826894934804216</v>
      </c>
      <c r="H7" s="53">
        <f>(Dataset!D$59 - Dataset!D$58*LN(LN('IDF Curve'!H$4/('IDF Curve'!H$4-1))))*60/C7</f>
        <v>30.063911335649042</v>
      </c>
      <c r="K7" s="150"/>
      <c r="L7" s="53">
        <v>15</v>
      </c>
      <c r="M7" s="53">
        <f>_xlfn.LOGNORM.INV(1-(1/M4), Dataset!D62,Dataset!D63)*60/L7</f>
        <v>24.112619405002853</v>
      </c>
      <c r="N7" s="53">
        <f>_xlfn.LOGNORM.INV(1-(1/N4), Dataset!D62,Dataset!D63)*60/L7</f>
        <v>26.07440541364646</v>
      </c>
      <c r="O7" s="53">
        <f>_xlfn.LOGNORM.INV(1-(1/O4), Dataset!D62,Dataset!D63)*60/L7</f>
        <v>27.162588010872348</v>
      </c>
      <c r="P7" s="53">
        <f>_xlfn.LOGNORM.INV(1-(1/P4), Dataset!D62,Dataset!D63)*60/L7</f>
        <v>28.373089999961685</v>
      </c>
      <c r="Q7" s="53">
        <f>_xlfn.LOGNORM.INV(1-(1/Q4), Dataset!D62,Dataset!D63)*60/L7</f>
        <v>29.183611839013636</v>
      </c>
    </row>
    <row r="8" spans="2:17" x14ac:dyDescent="0.3">
      <c r="B8" s="150"/>
      <c r="C8" s="53">
        <v>30</v>
      </c>
      <c r="D8" s="53">
        <f>(Dataset!E$59 - Dataset!E$58*LN(LN('IDF Curve'!D$4/('IDF Curve'!D$4-1))))*60/C8</f>
        <v>23.672643158944311</v>
      </c>
      <c r="E8" s="53">
        <f>(Dataset!E$59 - Dataset!E$58*LN(LN('IDF Curve'!E$4/('IDF Curve'!E$4-1))))*60/C8</f>
        <v>25.596341631345435</v>
      </c>
      <c r="F8" s="53">
        <f>(Dataset!E$59 - Dataset!E$58*LN(LN('IDF Curve'!F$4/('IDF Curve'!F$4-1))))*60/C8</f>
        <v>26.869997406602167</v>
      </c>
      <c r="G8" s="53">
        <f>(Dataset!E$59 - Dataset!E$58*LN(LN('IDF Curve'!G$4/('IDF Curve'!G$4-1))))*60/C8</f>
        <v>28.479264855035048</v>
      </c>
      <c r="H8" s="53">
        <f>(Dataset!E$59 - Dataset!E$58*LN(LN('IDF Curve'!H$4/('IDF Curve'!H$4-1))))*60/C8</f>
        <v>29.673111378898266</v>
      </c>
      <c r="K8" s="150"/>
      <c r="L8" s="53">
        <v>30</v>
      </c>
      <c r="M8" s="53">
        <f>_xlfn.LOGNORM.INV(1-(1/M4), Dataset!E62,Dataset!E63)*60/L8</f>
        <v>23.932235280493884</v>
      </c>
      <c r="N8" s="53">
        <f>_xlfn.LOGNORM.INV(1-(1/N4), Dataset!E62,Dataset!E63)*60/L8</f>
        <v>25.824172783459439</v>
      </c>
      <c r="O8" s="53">
        <f>_xlfn.LOGNORM.INV(1-(1/O4), Dataset!E62,Dataset!E63)*60/L8</f>
        <v>26.871917744830338</v>
      </c>
      <c r="P8" s="53">
        <f>_xlfn.LOGNORM.INV(1-(1/P4), Dataset!E62,Dataset!E63)*60/L8</f>
        <v>28.03609341200703</v>
      </c>
      <c r="Q8" s="53">
        <f>_xlfn.LOGNORM.INV(1-(1/Q4), Dataset!E62,Dataset!E63)*60/L8</f>
        <v>28.814835423131971</v>
      </c>
    </row>
    <row r="9" spans="2:17" x14ac:dyDescent="0.3">
      <c r="B9" s="150"/>
      <c r="C9" s="53">
        <v>60</v>
      </c>
      <c r="D9" s="53">
        <f>(Dataset!F$59 - Dataset!F$58*LN(LN('IDF Curve'!D$4/('IDF Curve'!D$4-1))))*60/C9</f>
        <v>13.618608492220671</v>
      </c>
      <c r="E9" s="53">
        <f>(Dataset!F$59 - Dataset!F$58*LN(LN('IDF Curve'!E$4/('IDF Curve'!E$4-1))))*60/C9</f>
        <v>14.886202061799334</v>
      </c>
      <c r="F9" s="53">
        <f>(Dataset!F$59 - Dataset!F$58*LN(LN('IDF Curve'!F$4/('IDF Curve'!F$4-1))))*60/C9</f>
        <v>15.725459301816265</v>
      </c>
      <c r="G9" s="53">
        <f>(Dataset!F$59 - Dataset!F$58*LN(LN('IDF Curve'!G$4/('IDF Curve'!G$4-1))))*60/C9</f>
        <v>16.785863049405467</v>
      </c>
      <c r="H9" s="53">
        <f>(Dataset!F$59 - Dataset!F$58*LN(LN('IDF Curve'!H$4/('IDF Curve'!H$4-1))))*60/C9</f>
        <v>17.572531125730322</v>
      </c>
      <c r="K9" s="150"/>
      <c r="L9" s="53">
        <v>60</v>
      </c>
      <c r="M9" s="53">
        <f>_xlfn.LOGNORM.INV(1-(1/M4), Dataset!F62,Dataset!F63)*60/L9</f>
        <v>13.780571716081552</v>
      </c>
      <c r="N9" s="53">
        <f>_xlfn.LOGNORM.INV(1-(1/N4), Dataset!F62,Dataset!F63)*60/L9</f>
        <v>15.031752080417691</v>
      </c>
      <c r="O9" s="53">
        <f>_xlfn.LOGNORM.INV(1-(1/O4), Dataset!F62,Dataset!F63)*60/L9</f>
        <v>15.730343605307073</v>
      </c>
      <c r="P9" s="53">
        <f>_xlfn.LOGNORM.INV(1-(1/P4), Dataset!F62,Dataset!F63)*60/L9</f>
        <v>16.511117598156485</v>
      </c>
      <c r="Q9" s="53">
        <f>_xlfn.LOGNORM.INV(1-(1/Q4), Dataset!F62,Dataset!F63)*60/L9</f>
        <v>17.035986014048518</v>
      </c>
    </row>
    <row r="10" spans="2:17" x14ac:dyDescent="0.3">
      <c r="B10" s="150"/>
      <c r="C10" s="53">
        <v>120</v>
      </c>
      <c r="D10" s="53">
        <f>(Dataset!G$59 - Dataset!G$58*LN(LN('IDF Curve'!D$4/('IDF Curve'!D$4-1))))*60/C10</f>
        <v>9.7836819085461233</v>
      </c>
      <c r="E10" s="53">
        <f>(Dataset!G$59 - Dataset!G$58*LN(LN('IDF Curve'!E$4/('IDF Curve'!E$4-1))))*60/C10</f>
        <v>10.628189066630362</v>
      </c>
      <c r="F10" s="53">
        <f>(Dataset!G$59 - Dataset!G$58*LN(LN('IDF Curve'!F$4/('IDF Curve'!F$4-1))))*60/C10</f>
        <v>11.187326288274607</v>
      </c>
      <c r="G10" s="53">
        <f>(Dataset!G$59 - Dataset!G$58*LN(LN('IDF Curve'!G$4/('IDF Curve'!G$4-1))))*60/C10</f>
        <v>11.893797650066144</v>
      </c>
      <c r="H10" s="53">
        <f>(Dataset!G$59 - Dataset!G$58*LN(LN('IDF Curve'!H$4/('IDF Curve'!H$4-1))))*60/C10</f>
        <v>12.417898463952035</v>
      </c>
      <c r="K10" s="150"/>
      <c r="L10" s="53">
        <v>120</v>
      </c>
      <c r="M10" s="53">
        <f>_xlfn.LOGNORM.INV(1-(1/M4), Dataset!G62,Dataset!G63)*60/L10</f>
        <v>9.895044455697855</v>
      </c>
      <c r="N10" s="53">
        <f>_xlfn.LOGNORM.INV(1-(1/N4), Dataset!G62,Dataset!G63)*60/L10</f>
        <v>10.72692081987066</v>
      </c>
      <c r="O10" s="53">
        <f>_xlfn.LOGNORM.INV(1-(1/O4), Dataset!G62,Dataset!G63)*60/L10</f>
        <v>11.18922894183148</v>
      </c>
      <c r="P10" s="53">
        <f>_xlfn.LOGNORM.INV(1-(1/P4), Dataset!G62,Dataset!G63)*60/L10</f>
        <v>11.704199904498051</v>
      </c>
      <c r="Q10" s="53">
        <f>_xlfn.LOGNORM.INV(1-(1/Q4), Dataset!G62,Dataset!G63)*60/L10</f>
        <v>12.049406796753399</v>
      </c>
    </row>
    <row r="11" spans="2:17" x14ac:dyDescent="0.3">
      <c r="B11" s="150"/>
      <c r="C11" s="53">
        <v>360</v>
      </c>
      <c r="D11" s="53">
        <f>(Dataset!H$59 - Dataset!H$58*LN(LN('IDF Curve'!D$4/('IDF Curve'!D$4-1))))*60/C11</f>
        <v>5.0588112488612893</v>
      </c>
      <c r="E11" s="53">
        <f>(Dataset!H$59 - Dataset!H$58*LN(LN('IDF Curve'!E$4/('IDF Curve'!E$4-1))))*60/C11</f>
        <v>5.5207298481632101</v>
      </c>
      <c r="F11" s="53">
        <f>(Dataset!H$59 - Dataset!H$58*LN(LN('IDF Curve'!F$4/('IDF Curve'!F$4-1))))*60/C11</f>
        <v>5.826560153764615</v>
      </c>
      <c r="G11" s="53">
        <f>(Dataset!H$59 - Dataset!H$58*LN(LN('IDF Curve'!G$4/('IDF Curve'!G$4-1))))*60/C11</f>
        <v>6.2129775556324107</v>
      </c>
      <c r="H11" s="53">
        <f>(Dataset!H$59 - Dataset!H$58*LN(LN('IDF Curve'!H$4/('IDF Curve'!H$4-1))))*60/C11</f>
        <v>6.4996440587232227</v>
      </c>
      <c r="K11" s="150"/>
      <c r="L11" s="53">
        <v>360</v>
      </c>
      <c r="M11" s="53">
        <f>_xlfn.LOGNORM.INV(1-(1/M4), Dataset!H62,Dataset!H63)*60/L11</f>
        <v>5.1183253129753954</v>
      </c>
      <c r="N11" s="53">
        <f>_xlfn.LOGNORM.INV(1-(1/N4), Dataset!H62,Dataset!H63)*60/L11</f>
        <v>5.5740237676831592</v>
      </c>
      <c r="O11" s="53">
        <f>_xlfn.LOGNORM.INV(1-(1/O4), Dataset!H62,Dataset!H63)*60/L11</f>
        <v>5.8281506212379579</v>
      </c>
      <c r="P11" s="53">
        <f>_xlfn.LOGNORM.INV(1-(1/P4), Dataset!H62,Dataset!H63)*60/L11</f>
        <v>6.1119252556788286</v>
      </c>
      <c r="Q11" s="53">
        <f>_xlfn.LOGNORM.INV(1-(1/Q4), Dataset!H62,Dataset!H63)*60/L11</f>
        <v>6.3025493512429547</v>
      </c>
    </row>
    <row r="12" spans="2:17" x14ac:dyDescent="0.3">
      <c r="B12" s="150"/>
      <c r="C12" s="53">
        <v>720</v>
      </c>
      <c r="D12" s="53">
        <f>(Dataset!I$59 - Dataset!I$58*LN(LN('IDF Curve'!D$4/('IDF Curve'!D$4-1))))*60/C12</f>
        <v>3.7138049974540026</v>
      </c>
      <c r="E12" s="53">
        <f>(Dataset!I$59 - Dataset!I$58*LN(LN('IDF Curve'!E$4/('IDF Curve'!E$4-1))))*60/C12</f>
        <v>4.0786761852513456</v>
      </c>
      <c r="F12" s="53">
        <f>(Dataset!I$59 - Dataset!I$58*LN(LN('IDF Curve'!F$4/('IDF Curve'!F$4-1))))*60/C12</f>
        <v>4.3202526600628133</v>
      </c>
      <c r="G12" s="53">
        <f>(Dataset!I$59 - Dataset!I$58*LN(LN('IDF Curve'!G$4/('IDF Curve'!G$4-1))))*60/C12</f>
        <v>4.625485176393922</v>
      </c>
      <c r="H12" s="53">
        <f>(Dataset!I$59 - Dataset!I$58*LN(LN('IDF Curve'!H$4/('IDF Curve'!H$4-1))))*60/C12</f>
        <v>4.8519240936458505</v>
      </c>
      <c r="I12" s="11"/>
      <c r="J12" s="11"/>
      <c r="K12" s="150"/>
      <c r="L12" s="53">
        <v>720</v>
      </c>
      <c r="M12" s="53">
        <f>_xlfn.LOGNORM.INV(1-(1/M4), Dataset!I62,Dataset!I63)*60/L12</f>
        <v>3.7592888668481175</v>
      </c>
      <c r="N12" s="53">
        <f>_xlfn.LOGNORM.INV(1-(1/N4), Dataset!I62,Dataset!I63)*60/L12</f>
        <v>4.1199762038503316</v>
      </c>
      <c r="O12" s="53">
        <f>_xlfn.LOGNORM.INV(1-(1/O4), Dataset!I62,Dataset!I63)*60/L12</f>
        <v>4.3220832493574406</v>
      </c>
      <c r="P12" s="53">
        <f>_xlfn.LOGNORM.INV(1-(1/P4), Dataset!I62,Dataset!I63)*60/L12</f>
        <v>4.5485421394487853</v>
      </c>
      <c r="Q12" s="53">
        <f>_xlfn.LOGNORM.INV(1-(1/Q4), Dataset!I62,Dataset!I63)*60/L12</f>
        <v>4.7011056338958941</v>
      </c>
    </row>
    <row r="13" spans="2:17" ht="15" thickBot="1" x14ac:dyDescent="0.35">
      <c r="B13" s="151"/>
      <c r="C13" s="53">
        <v>1440</v>
      </c>
      <c r="D13" s="53">
        <f>(Dataset!J$59 - Dataset!J$58*LN(LN('IDF Curve'!D$4/('IDF Curve'!D$4-1))))*60/C13</f>
        <v>2.4888967247715632</v>
      </c>
      <c r="E13" s="53">
        <f>(Dataset!J$59 - Dataset!J$58*LN(LN('IDF Curve'!E$4/('IDF Curve'!E$4-1))))*60/C13</f>
        <v>2.7213595324705024</v>
      </c>
      <c r="F13" s="53">
        <f>(Dataset!J$59 - Dataset!J$58*LN(LN('IDF Curve'!F$4/('IDF Curve'!F$4-1))))*60/C13</f>
        <v>2.8752701384235184</v>
      </c>
      <c r="G13" s="53">
        <f>(Dataset!J$59 - Dataset!J$58*LN(LN('IDF Curve'!G$4/('IDF Curve'!G$4-1))))*60/C13</f>
        <v>3.0697365970542605</v>
      </c>
      <c r="H13" s="53">
        <f>(Dataset!J$59 - Dataset!J$58*LN(LN('IDF Curve'!H$4/('IDF Curve'!H$4-1))))*60/C13</f>
        <v>3.2140029251095408</v>
      </c>
      <c r="K13" s="151"/>
      <c r="L13" s="53">
        <v>1440</v>
      </c>
      <c r="M13" s="53">
        <f>_xlfn.LOGNORM.INV(1-(1/M4), Dataset!J62,Dataset!J63)*60/L13</f>
        <v>2.5185538243450702</v>
      </c>
      <c r="N13" s="53">
        <f>_xlfn.LOGNORM.INV(1-(1/N4), Dataset!J62,Dataset!J63)*60/L13</f>
        <v>2.7480283938735486</v>
      </c>
      <c r="O13" s="53">
        <f>_xlfn.LOGNORM.INV(1-(1/O4), Dataset!J62,Dataset!J63)*60/L13</f>
        <v>2.8761830651410127</v>
      </c>
      <c r="P13" s="53">
        <f>_xlfn.LOGNORM.INV(1-(1/P4), Dataset!J62,Dataset!J63)*60/L13</f>
        <v>3.0194366240214876</v>
      </c>
      <c r="Q13" s="53">
        <f>_xlfn.LOGNORM.INV(1-(1/Q4), Dataset!J62,Dataset!J63)*60/L13</f>
        <v>3.1157505077194525</v>
      </c>
    </row>
    <row r="14" spans="2:17" x14ac:dyDescent="0.3">
      <c r="I14" s="17"/>
      <c r="J14" s="17"/>
    </row>
    <row r="15" spans="2:17" ht="22.5" customHeight="1" x14ac:dyDescent="0.3">
      <c r="I15" s="16"/>
      <c r="J15" s="16"/>
    </row>
    <row r="16" spans="2:17" x14ac:dyDescent="0.3">
      <c r="I16" s="11"/>
      <c r="J16" s="11"/>
    </row>
    <row r="17" spans="9:10" x14ac:dyDescent="0.3">
      <c r="I17" s="11"/>
      <c r="J17" s="11"/>
    </row>
    <row r="18" spans="9:10" x14ac:dyDescent="0.3">
      <c r="I18" s="11"/>
      <c r="J18" s="11"/>
    </row>
    <row r="19" spans="9:10" x14ac:dyDescent="0.3">
      <c r="I19" s="11"/>
      <c r="J19" s="11"/>
    </row>
    <row r="20" spans="9:10" x14ac:dyDescent="0.3">
      <c r="I20" s="11"/>
      <c r="J20" s="11"/>
    </row>
    <row r="21" spans="9:10" x14ac:dyDescent="0.3">
      <c r="I21" s="11"/>
      <c r="J21" s="11"/>
    </row>
    <row r="22" spans="9:10" x14ac:dyDescent="0.3">
      <c r="I22" s="11"/>
      <c r="J22" s="11"/>
    </row>
    <row r="23" spans="9:10" x14ac:dyDescent="0.3">
      <c r="I23" s="11"/>
      <c r="J23" s="11"/>
    </row>
    <row r="24" spans="9:10" x14ac:dyDescent="0.3">
      <c r="I24" s="11"/>
      <c r="J24" s="11"/>
    </row>
    <row r="42" spans="2:8" x14ac:dyDescent="0.3">
      <c r="C42" s="137" t="s">
        <v>106</v>
      </c>
      <c r="D42" s="137"/>
      <c r="E42" s="137"/>
      <c r="F42" s="137"/>
      <c r="G42" s="137"/>
      <c r="H42" s="137"/>
    </row>
    <row r="43" spans="2:8" ht="15" thickBot="1" x14ac:dyDescent="0.35">
      <c r="C43" s="152"/>
      <c r="D43" s="152"/>
      <c r="E43" s="152"/>
      <c r="F43" s="152"/>
      <c r="G43" s="152"/>
      <c r="H43" s="152"/>
    </row>
    <row r="44" spans="2:8" ht="15" thickBot="1" x14ac:dyDescent="0.35">
      <c r="C44" s="153" t="s">
        <v>34</v>
      </c>
      <c r="D44" s="154"/>
      <c r="E44" s="154"/>
      <c r="F44" s="154"/>
      <c r="G44" s="154"/>
      <c r="H44" s="155"/>
    </row>
    <row r="45" spans="2:8" x14ac:dyDescent="0.3">
      <c r="B45" s="149" t="s">
        <v>33</v>
      </c>
      <c r="C45" s="53"/>
      <c r="D45" s="53">
        <v>2</v>
      </c>
      <c r="E45" s="53">
        <v>5</v>
      </c>
      <c r="F45" s="53">
        <v>10</v>
      </c>
      <c r="G45" s="53">
        <v>25</v>
      </c>
      <c r="H45" s="53">
        <v>50</v>
      </c>
    </row>
    <row r="46" spans="2:8" x14ac:dyDescent="0.3">
      <c r="B46" s="150"/>
      <c r="C46" s="53">
        <v>5</v>
      </c>
      <c r="D46" s="53">
        <v>23.819306612258028</v>
      </c>
      <c r="E46" s="53">
        <v>25.937964635658467</v>
      </c>
      <c r="F46" s="53">
        <v>27.340700597667016</v>
      </c>
      <c r="G46" s="53">
        <v>29.11306120424576</v>
      </c>
      <c r="H46" s="53">
        <v>30.427899549641143</v>
      </c>
    </row>
    <row r="47" spans="2:8" x14ac:dyDescent="0.3">
      <c r="B47" s="150"/>
      <c r="C47" s="53">
        <v>10</v>
      </c>
      <c r="D47" s="53">
        <v>21.082723145011443</v>
      </c>
      <c r="E47" s="53">
        <v>23.034383233092477</v>
      </c>
      <c r="F47" s="53">
        <v>24.125427789887436</v>
      </c>
      <c r="G47" s="53">
        <v>25.345896956953158</v>
      </c>
      <c r="H47" s="53">
        <v>26.166958201012488</v>
      </c>
    </row>
    <row r="48" spans="2:8" x14ac:dyDescent="0.3">
      <c r="B48" s="150"/>
      <c r="C48" s="53">
        <v>15</v>
      </c>
      <c r="D48" s="53">
        <v>23.846464241350979</v>
      </c>
      <c r="E48" s="53">
        <v>25.839724273586896</v>
      </c>
      <c r="F48" s="53">
        <v>27.159435854205292</v>
      </c>
      <c r="G48" s="53">
        <v>28.826894934804216</v>
      </c>
      <c r="H48" s="53">
        <v>30.063911335649042</v>
      </c>
    </row>
    <row r="49" spans="2:8" x14ac:dyDescent="0.3">
      <c r="B49" s="150"/>
      <c r="C49" s="53">
        <v>30</v>
      </c>
      <c r="D49" s="53">
        <v>23.932235280493884</v>
      </c>
      <c r="E49" s="53">
        <v>25.824172783459439</v>
      </c>
      <c r="F49" s="53">
        <v>26.871917744830338</v>
      </c>
      <c r="G49" s="53">
        <v>28.03609341200703</v>
      </c>
      <c r="H49" s="53">
        <v>28.814835423131971</v>
      </c>
    </row>
    <row r="50" spans="2:8" x14ac:dyDescent="0.3">
      <c r="B50" s="150"/>
      <c r="C50" s="53">
        <v>60</v>
      </c>
      <c r="D50" s="53">
        <v>13.780571716081552</v>
      </c>
      <c r="E50" s="53">
        <v>15.031752080417691</v>
      </c>
      <c r="F50" s="53">
        <v>15.730343605307073</v>
      </c>
      <c r="G50" s="53">
        <v>16.511117598156485</v>
      </c>
      <c r="H50" s="53">
        <v>17.035986014048518</v>
      </c>
    </row>
    <row r="51" spans="2:8" x14ac:dyDescent="0.3">
      <c r="B51" s="150"/>
      <c r="C51" s="53">
        <v>120</v>
      </c>
      <c r="D51" s="53">
        <v>9.895044455697855</v>
      </c>
      <c r="E51" s="53">
        <v>10.72692081987066</v>
      </c>
      <c r="F51" s="53">
        <v>11.18922894183148</v>
      </c>
      <c r="G51" s="53">
        <v>11.704199904498051</v>
      </c>
      <c r="H51" s="53">
        <v>12.049406796753399</v>
      </c>
    </row>
    <row r="52" spans="2:8" x14ac:dyDescent="0.3">
      <c r="B52" s="150"/>
      <c r="C52" s="53">
        <v>360</v>
      </c>
      <c r="D52" s="53">
        <v>5.1183253129753954</v>
      </c>
      <c r="E52" s="53">
        <v>5.5740237676831592</v>
      </c>
      <c r="F52" s="53">
        <v>5.8281506212379579</v>
      </c>
      <c r="G52" s="53">
        <v>6.1119252556788286</v>
      </c>
      <c r="H52" s="53">
        <v>6.3025493512429547</v>
      </c>
    </row>
    <row r="53" spans="2:8" x14ac:dyDescent="0.3">
      <c r="B53" s="150"/>
      <c r="C53" s="53">
        <v>720</v>
      </c>
      <c r="D53" s="53">
        <v>3.7592888668481175</v>
      </c>
      <c r="E53" s="53">
        <v>4.1199762038503316</v>
      </c>
      <c r="F53" s="53">
        <v>4.3220832493574406</v>
      </c>
      <c r="G53" s="53">
        <v>4.5485421394487853</v>
      </c>
      <c r="H53" s="53">
        <v>4.7011056338958941</v>
      </c>
    </row>
    <row r="54" spans="2:8" ht="15" thickBot="1" x14ac:dyDescent="0.35">
      <c r="B54" s="151"/>
      <c r="C54" s="53">
        <v>1440</v>
      </c>
      <c r="D54" s="53">
        <v>2.5185538243450702</v>
      </c>
      <c r="E54" s="53">
        <v>2.7480283938735486</v>
      </c>
      <c r="F54" s="53">
        <v>2.8761830651410127</v>
      </c>
      <c r="G54" s="53">
        <v>3.0194366240214876</v>
      </c>
      <c r="H54" s="53">
        <v>3.1157505077194525</v>
      </c>
    </row>
    <row r="58" spans="2:8" x14ac:dyDescent="0.3">
      <c r="B58" s="73" t="s">
        <v>107</v>
      </c>
      <c r="C58" s="73">
        <v>768.14920124770845</v>
      </c>
    </row>
    <row r="59" spans="2:8" x14ac:dyDescent="0.3">
      <c r="B59" s="73" t="s">
        <v>11</v>
      </c>
      <c r="C59" s="73">
        <v>6.6674904646060684E-2</v>
      </c>
    </row>
    <row r="60" spans="2:8" x14ac:dyDescent="0.3">
      <c r="B60" s="73" t="s">
        <v>108</v>
      </c>
      <c r="C60" s="73">
        <v>65.725906658709164</v>
      </c>
    </row>
    <row r="61" spans="2:8" x14ac:dyDescent="0.3">
      <c r="B61" s="73" t="s">
        <v>109</v>
      </c>
      <c r="C61" s="73">
        <v>0.81501939309932225</v>
      </c>
    </row>
    <row r="62" spans="2:8" ht="43.2" x14ac:dyDescent="0.3">
      <c r="B62" s="74" t="s">
        <v>110</v>
      </c>
      <c r="C62" s="73">
        <f>SUM(T72:X80)</f>
        <v>209.12860135716255</v>
      </c>
    </row>
    <row r="68" spans="2:24" x14ac:dyDescent="0.3">
      <c r="C68" s="137" t="s">
        <v>115</v>
      </c>
      <c r="D68" s="137"/>
      <c r="E68" s="137"/>
      <c r="F68" s="137"/>
      <c r="G68" s="137"/>
      <c r="H68" s="137"/>
      <c r="K68" s="137" t="s">
        <v>116</v>
      </c>
      <c r="L68" s="137"/>
      <c r="M68" s="137"/>
      <c r="N68" s="137"/>
      <c r="O68" s="137"/>
      <c r="P68" s="137"/>
      <c r="S68" s="137" t="s">
        <v>117</v>
      </c>
      <c r="T68" s="137"/>
      <c r="U68" s="137"/>
      <c r="V68" s="137"/>
      <c r="W68" s="137"/>
      <c r="X68" s="137"/>
    </row>
    <row r="69" spans="2:24" ht="15" thickBot="1" x14ac:dyDescent="0.35">
      <c r="C69" s="152"/>
      <c r="D69" s="152"/>
      <c r="E69" s="152"/>
      <c r="F69" s="152"/>
      <c r="G69" s="152"/>
      <c r="H69" s="152"/>
      <c r="K69" s="152"/>
      <c r="L69" s="152"/>
      <c r="M69" s="152"/>
      <c r="N69" s="152"/>
      <c r="O69" s="152"/>
      <c r="P69" s="152"/>
      <c r="S69" s="152"/>
      <c r="T69" s="152"/>
      <c r="U69" s="152"/>
      <c r="V69" s="152"/>
      <c r="W69" s="152"/>
      <c r="X69" s="152"/>
    </row>
    <row r="70" spans="2:24" ht="15" thickBot="1" x14ac:dyDescent="0.35">
      <c r="C70" s="153" t="s">
        <v>34</v>
      </c>
      <c r="D70" s="154"/>
      <c r="E70" s="154"/>
      <c r="F70" s="154"/>
      <c r="G70" s="154"/>
      <c r="H70" s="155"/>
      <c r="K70" s="153" t="s">
        <v>34</v>
      </c>
      <c r="L70" s="154"/>
      <c r="M70" s="154"/>
      <c r="N70" s="154"/>
      <c r="O70" s="154"/>
      <c r="P70" s="155"/>
      <c r="S70" s="153" t="s">
        <v>34</v>
      </c>
      <c r="T70" s="154"/>
      <c r="U70" s="154"/>
      <c r="V70" s="154"/>
      <c r="W70" s="154"/>
      <c r="X70" s="155"/>
    </row>
    <row r="71" spans="2:24" x14ac:dyDescent="0.3">
      <c r="B71" s="156" t="s">
        <v>33</v>
      </c>
      <c r="C71" s="53"/>
      <c r="D71" s="53">
        <v>2</v>
      </c>
      <c r="E71" s="53">
        <v>5</v>
      </c>
      <c r="F71" s="53">
        <v>10</v>
      </c>
      <c r="G71" s="53">
        <v>25</v>
      </c>
      <c r="H71" s="53">
        <v>50</v>
      </c>
      <c r="J71" s="149" t="s">
        <v>33</v>
      </c>
      <c r="K71" s="53"/>
      <c r="L71" s="53">
        <v>2</v>
      </c>
      <c r="M71" s="53">
        <v>5</v>
      </c>
      <c r="N71" s="53">
        <v>10</v>
      </c>
      <c r="O71" s="53">
        <v>25</v>
      </c>
      <c r="P71" s="53">
        <v>50</v>
      </c>
      <c r="R71" s="149" t="s">
        <v>33</v>
      </c>
      <c r="S71" s="53"/>
      <c r="T71" s="53">
        <v>2</v>
      </c>
      <c r="U71" s="53">
        <v>5</v>
      </c>
      <c r="V71" s="53">
        <v>10</v>
      </c>
      <c r="W71" s="53">
        <v>25</v>
      </c>
      <c r="X71" s="53">
        <v>50</v>
      </c>
    </row>
    <row r="72" spans="2:24" x14ac:dyDescent="0.3">
      <c r="B72" s="157"/>
      <c r="C72" s="53">
        <v>5</v>
      </c>
      <c r="D72" s="53">
        <v>23.819306612258028</v>
      </c>
      <c r="E72" s="53">
        <v>25.937964635658467</v>
      </c>
      <c r="F72" s="53">
        <v>27.340700597667016</v>
      </c>
      <c r="G72" s="53">
        <v>29.11306120424576</v>
      </c>
      <c r="H72" s="53">
        <v>30.427899549641143</v>
      </c>
      <c r="J72" s="150"/>
      <c r="K72" s="53">
        <v>5</v>
      </c>
      <c r="L72" s="53">
        <f>$C$58*(D71^$C$59)/($C$72+$C$60)^$C$61</f>
        <v>25.007735300128026</v>
      </c>
      <c r="M72" s="53">
        <f t="shared" ref="M72:M80" si="0">$C$58*($E$71^$C$59)/(C72+$C$60)^$C$61</f>
        <v>26.58318269117353</v>
      </c>
      <c r="N72" s="53">
        <f t="shared" ref="N72:N80" si="1">$C$58*($F$71^$C$59)/(C72+$C$60)^$C$61</f>
        <v>27.840569971213963</v>
      </c>
      <c r="O72" s="53">
        <f t="shared" ref="O72:O80" si="2">$C$58*($G$71^$C$59)/(C72+$C$60)^$C$61</f>
        <v>29.594481423009608</v>
      </c>
      <c r="P72" s="53">
        <f t="shared" ref="P72:P80" si="3">$C$58*($H$71^$C$59)/(C72+$C$60)^$C$61</f>
        <v>30.994303443306702</v>
      </c>
      <c r="R72" s="150"/>
      <c r="S72" s="53">
        <v>5</v>
      </c>
      <c r="T72" s="53">
        <f t="shared" ref="T72:T80" si="4">(D72-L72)^2</f>
        <v>1.4123627461524038</v>
      </c>
      <c r="U72" s="53">
        <f t="shared" ref="U72:U80" si="5">(E72-M72)^2</f>
        <v>0.41630633916263843</v>
      </c>
      <c r="V72" s="53">
        <f t="shared" ref="V72:V80" si="6">(F72-N72)^2</f>
        <v>0.24986939061021685</v>
      </c>
      <c r="W72" s="53">
        <f t="shared" ref="W72:W80" si="7">(G72-O72)^2</f>
        <v>0.23176542703463116</v>
      </c>
      <c r="X72" s="53">
        <f t="shared" ref="X72:X80" si="8">(H72-P72)^2</f>
        <v>0.3208133707595055</v>
      </c>
    </row>
    <row r="73" spans="2:24" x14ac:dyDescent="0.3">
      <c r="B73" s="157"/>
      <c r="C73" s="53">
        <v>10</v>
      </c>
      <c r="D73" s="53">
        <v>21.082723145011443</v>
      </c>
      <c r="E73" s="53">
        <v>23.034383233092477</v>
      </c>
      <c r="F73" s="53">
        <v>24.125427789887436</v>
      </c>
      <c r="G73" s="53">
        <v>25.345896956953158</v>
      </c>
      <c r="H73" s="53">
        <v>26.166958201012488</v>
      </c>
      <c r="J73" s="150"/>
      <c r="K73" s="53">
        <v>10</v>
      </c>
      <c r="L73" s="53">
        <f t="shared" ref="L73:L80" si="9">$C$58*($D$71^$C$59)/(C73+$C$60)^$C$61</f>
        <v>23.653533783004789</v>
      </c>
      <c r="M73" s="53">
        <f t="shared" si="0"/>
        <v>25.143668640888176</v>
      </c>
      <c r="N73" s="53">
        <f t="shared" si="1"/>
        <v>26.332966758043337</v>
      </c>
      <c r="O73" s="53">
        <f t="shared" si="2"/>
        <v>27.991901614780836</v>
      </c>
      <c r="P73" s="53">
        <f t="shared" si="3"/>
        <v>29.31592144504199</v>
      </c>
      <c r="R73" s="150"/>
      <c r="S73" s="53">
        <v>10</v>
      </c>
      <c r="T73" s="53">
        <f t="shared" si="4"/>
        <v>6.6090673364197592</v>
      </c>
      <c r="U73" s="53">
        <f t="shared" si="5"/>
        <v>4.4490849315398693</v>
      </c>
      <c r="V73" s="53">
        <f t="shared" si="6"/>
        <v>4.8732282959268227</v>
      </c>
      <c r="W73" s="53">
        <f t="shared" si="7"/>
        <v>7.0013406492457682</v>
      </c>
      <c r="X73" s="53">
        <f t="shared" si="8"/>
        <v>9.9159695122488092</v>
      </c>
    </row>
    <row r="74" spans="2:24" x14ac:dyDescent="0.3">
      <c r="B74" s="157"/>
      <c r="C74" s="53">
        <v>15</v>
      </c>
      <c r="D74" s="53">
        <v>23.846464241350979</v>
      </c>
      <c r="E74" s="53">
        <v>25.839724273586896</v>
      </c>
      <c r="F74" s="53">
        <v>27.159435854205292</v>
      </c>
      <c r="G74" s="53">
        <v>28.826894934804216</v>
      </c>
      <c r="H74" s="53">
        <v>30.063911335649042</v>
      </c>
      <c r="J74" s="150"/>
      <c r="K74" s="53">
        <v>15</v>
      </c>
      <c r="L74" s="53">
        <f t="shared" si="9"/>
        <v>22.452474279446278</v>
      </c>
      <c r="M74" s="53">
        <f t="shared" si="0"/>
        <v>23.866944306481827</v>
      </c>
      <c r="N74" s="53">
        <f t="shared" si="1"/>
        <v>24.995853231084297</v>
      </c>
      <c r="O74" s="53">
        <f t="shared" si="2"/>
        <v>26.570552070753571</v>
      </c>
      <c r="P74" s="53">
        <f t="shared" si="3"/>
        <v>27.827341921146868</v>
      </c>
      <c r="R74" s="150"/>
      <c r="S74" s="53">
        <v>15</v>
      </c>
      <c r="T74" s="53">
        <f t="shared" si="4"/>
        <v>1.9432080138910701</v>
      </c>
      <c r="U74" s="53">
        <f t="shared" si="5"/>
        <v>3.8918607986110771</v>
      </c>
      <c r="V74" s="53">
        <f t="shared" si="6"/>
        <v>4.681089767071124</v>
      </c>
      <c r="W74" s="53">
        <f t="shared" si="7"/>
        <v>5.0910831201522653</v>
      </c>
      <c r="X74" s="53">
        <f t="shared" si="8"/>
        <v>5.0022427458865986</v>
      </c>
    </row>
    <row r="75" spans="2:24" x14ac:dyDescent="0.3">
      <c r="B75" s="157"/>
      <c r="C75" s="53">
        <v>30</v>
      </c>
      <c r="D75" s="53">
        <v>23.932235280493884</v>
      </c>
      <c r="E75" s="53">
        <v>25.824172783459439</v>
      </c>
      <c r="F75" s="53">
        <v>26.871917744830338</v>
      </c>
      <c r="G75" s="53">
        <v>28.03609341200703</v>
      </c>
      <c r="H75" s="53">
        <v>28.814835423131971</v>
      </c>
      <c r="J75" s="150"/>
      <c r="K75" s="53">
        <v>30</v>
      </c>
      <c r="L75" s="53">
        <f t="shared" si="9"/>
        <v>19.540662247257337</v>
      </c>
      <c r="M75" s="53">
        <f t="shared" si="0"/>
        <v>20.771692765905918</v>
      </c>
      <c r="N75" s="53">
        <f t="shared" si="1"/>
        <v>21.754195973749049</v>
      </c>
      <c r="O75" s="53">
        <f t="shared" si="2"/>
        <v>23.124675582550729</v>
      </c>
      <c r="P75" s="53">
        <f t="shared" si="3"/>
        <v>24.21847512003859</v>
      </c>
      <c r="R75" s="150"/>
      <c r="S75" s="53">
        <v>30</v>
      </c>
      <c r="T75" s="53">
        <f t="shared" si="4"/>
        <v>19.285913706250447</v>
      </c>
      <c r="U75" s="53">
        <f t="shared" si="5"/>
        <v>25.527554327777622</v>
      </c>
      <c r="V75" s="53">
        <f t="shared" si="6"/>
        <v>26.191076126199405</v>
      </c>
      <c r="W75" s="53">
        <f t="shared" si="7"/>
        <v>24.122025095501243</v>
      </c>
      <c r="X75" s="53">
        <f t="shared" si="8"/>
        <v>21.126528035852672</v>
      </c>
    </row>
    <row r="76" spans="2:24" x14ac:dyDescent="0.3">
      <c r="B76" s="157"/>
      <c r="C76" s="53">
        <v>60</v>
      </c>
      <c r="D76" s="53">
        <v>13.780571716081552</v>
      </c>
      <c r="E76" s="53">
        <v>15.031752080417691</v>
      </c>
      <c r="F76" s="53">
        <v>15.730343605307073</v>
      </c>
      <c r="G76" s="53">
        <v>16.511117598156485</v>
      </c>
      <c r="H76" s="53">
        <v>17.035986014048518</v>
      </c>
      <c r="J76" s="150"/>
      <c r="K76" s="53">
        <v>60</v>
      </c>
      <c r="L76" s="53">
        <f t="shared" si="9"/>
        <v>15.647495042009441</v>
      </c>
      <c r="M76" s="53">
        <f t="shared" si="0"/>
        <v>16.633262243416322</v>
      </c>
      <c r="N76" s="53">
        <f t="shared" si="1"/>
        <v>17.420017261181474</v>
      </c>
      <c r="O76" s="53">
        <f t="shared" si="2"/>
        <v>18.517450531996502</v>
      </c>
      <c r="P76" s="53">
        <f t="shared" si="3"/>
        <v>19.393327849931094</v>
      </c>
      <c r="R76" s="150"/>
      <c r="S76" s="53">
        <v>60</v>
      </c>
      <c r="T76" s="53">
        <f t="shared" si="4"/>
        <v>3.4854027048936511</v>
      </c>
      <c r="U76" s="53">
        <f t="shared" si="5"/>
        <v>2.5648348021879008</v>
      </c>
      <c r="V76" s="53">
        <f t="shared" si="6"/>
        <v>2.8549970633559636</v>
      </c>
      <c r="W76" s="53">
        <f t="shared" si="7"/>
        <v>4.0253718414110917</v>
      </c>
      <c r="X76" s="53">
        <f t="shared" si="8"/>
        <v>5.5570605312022314</v>
      </c>
    </row>
    <row r="77" spans="2:24" x14ac:dyDescent="0.3">
      <c r="B77" s="157"/>
      <c r="C77" s="53">
        <v>120</v>
      </c>
      <c r="D77" s="53">
        <v>9.895044455697855</v>
      </c>
      <c r="E77" s="53">
        <v>10.72692081987066</v>
      </c>
      <c r="F77" s="53">
        <v>11.18922894183148</v>
      </c>
      <c r="G77" s="53">
        <v>11.704199904498051</v>
      </c>
      <c r="H77" s="53">
        <v>12.049406796753399</v>
      </c>
      <c r="J77" s="150"/>
      <c r="K77" s="53">
        <v>120</v>
      </c>
      <c r="L77" s="53">
        <f t="shared" si="9"/>
        <v>11.385225899567114</v>
      </c>
      <c r="M77" s="53">
        <f t="shared" si="0"/>
        <v>12.102476951078559</v>
      </c>
      <c r="N77" s="53">
        <f t="shared" si="1"/>
        <v>12.674925357729332</v>
      </c>
      <c r="O77" s="53">
        <f t="shared" si="2"/>
        <v>13.473425415686556</v>
      </c>
      <c r="P77" s="53">
        <f t="shared" si="3"/>
        <v>14.110719825956055</v>
      </c>
      <c r="R77" s="150"/>
      <c r="S77" s="53">
        <v>120</v>
      </c>
      <c r="T77" s="53">
        <f t="shared" si="4"/>
        <v>2.2206407356522706</v>
      </c>
      <c r="U77" s="53">
        <f t="shared" si="5"/>
        <v>1.8921546701036431</v>
      </c>
      <c r="V77" s="53">
        <f t="shared" si="6"/>
        <v>2.2072938402117233</v>
      </c>
      <c r="W77" s="53">
        <f t="shared" si="7"/>
        <v>3.1301589094402282</v>
      </c>
      <c r="X77" s="53">
        <f t="shared" si="8"/>
        <v>4.2490114043606315</v>
      </c>
    </row>
    <row r="78" spans="2:24" x14ac:dyDescent="0.3">
      <c r="B78" s="157"/>
      <c r="C78" s="53">
        <v>360</v>
      </c>
      <c r="D78" s="53">
        <v>5.1183253129753954</v>
      </c>
      <c r="E78" s="53">
        <v>5.5740237676831592</v>
      </c>
      <c r="F78" s="53">
        <v>5.8281506212379579</v>
      </c>
      <c r="G78" s="53">
        <v>6.1119252556788286</v>
      </c>
      <c r="H78" s="53">
        <v>6.3025493512429547</v>
      </c>
      <c r="J78" s="150"/>
      <c r="K78" s="53">
        <v>360</v>
      </c>
      <c r="L78" s="53">
        <f t="shared" si="9"/>
        <v>5.7906154950778124</v>
      </c>
      <c r="M78" s="53">
        <f t="shared" si="0"/>
        <v>6.1554150246946069</v>
      </c>
      <c r="N78" s="53">
        <f t="shared" si="1"/>
        <v>6.44656678952789</v>
      </c>
      <c r="O78" s="53">
        <f t="shared" si="2"/>
        <v>6.8526902032586126</v>
      </c>
      <c r="P78" s="53">
        <f t="shared" si="3"/>
        <v>7.176823155875157</v>
      </c>
      <c r="R78" s="150"/>
      <c r="S78" s="53">
        <v>360</v>
      </c>
      <c r="T78" s="53">
        <f t="shared" si="4"/>
        <v>0.45197408895130098</v>
      </c>
      <c r="U78" s="53">
        <f t="shared" si="5"/>
        <v>0.3380157937293512</v>
      </c>
      <c r="V78" s="53">
        <f t="shared" si="6"/>
        <v>0.38243855720240155</v>
      </c>
      <c r="W78" s="53">
        <f t="shared" si="7"/>
        <v>0.54873270756288006</v>
      </c>
      <c r="X78" s="53">
        <f t="shared" si="8"/>
        <v>0.76435468546606622</v>
      </c>
    </row>
    <row r="79" spans="2:24" x14ac:dyDescent="0.3">
      <c r="B79" s="157"/>
      <c r="C79" s="53">
        <v>720</v>
      </c>
      <c r="D79" s="53">
        <v>3.7592888668481175</v>
      </c>
      <c r="E79" s="53">
        <v>4.1199762038503316</v>
      </c>
      <c r="F79" s="53">
        <v>4.3220832493574406</v>
      </c>
      <c r="G79" s="53">
        <v>4.5485421394487853</v>
      </c>
      <c r="H79" s="53">
        <v>4.7011056338958941</v>
      </c>
      <c r="J79" s="150"/>
      <c r="K79" s="53">
        <v>720</v>
      </c>
      <c r="L79" s="53">
        <f t="shared" si="9"/>
        <v>3.5141043774922962</v>
      </c>
      <c r="M79" s="53">
        <f t="shared" si="0"/>
        <v>3.7354873418806585</v>
      </c>
      <c r="N79" s="53">
        <f t="shared" si="1"/>
        <v>3.912176278002379</v>
      </c>
      <c r="O79" s="53">
        <f t="shared" si="2"/>
        <v>4.1586371364735335</v>
      </c>
      <c r="P79" s="53">
        <f t="shared" si="3"/>
        <v>4.3553411014747523</v>
      </c>
      <c r="R79" s="150"/>
      <c r="S79" s="53">
        <v>720</v>
      </c>
      <c r="T79" s="53">
        <f t="shared" si="4"/>
        <v>6.011543382067483E-2</v>
      </c>
      <c r="U79" s="53">
        <f t="shared" si="5"/>
        <v>0.14783168497873436</v>
      </c>
      <c r="V79" s="53">
        <f t="shared" si="6"/>
        <v>0.16802372516547928</v>
      </c>
      <c r="W79" s="53">
        <f t="shared" si="7"/>
        <v>0.1520259113451311</v>
      </c>
      <c r="X79" s="53">
        <f t="shared" si="8"/>
        <v>0.11955311188041082</v>
      </c>
    </row>
    <row r="80" spans="2:24" ht="15" thickBot="1" x14ac:dyDescent="0.35">
      <c r="B80" s="158"/>
      <c r="C80" s="53">
        <v>1440</v>
      </c>
      <c r="D80" s="53">
        <v>2.5185538243450702</v>
      </c>
      <c r="E80" s="53">
        <v>2.7480283938735486</v>
      </c>
      <c r="F80" s="53">
        <v>2.8761830651410127</v>
      </c>
      <c r="G80" s="53">
        <v>3.0194366240214876</v>
      </c>
      <c r="H80" s="53">
        <v>3.1157505077194525</v>
      </c>
      <c r="J80" s="151"/>
      <c r="K80" s="53">
        <v>1440</v>
      </c>
      <c r="L80" s="53">
        <f t="shared" si="9"/>
        <v>2.0681982971549315</v>
      </c>
      <c r="M80" s="53">
        <f t="shared" si="0"/>
        <v>2.1984914873344041</v>
      </c>
      <c r="N80" s="53">
        <f t="shared" si="1"/>
        <v>2.3024803611861913</v>
      </c>
      <c r="O80" s="53">
        <f t="shared" si="2"/>
        <v>2.4475329472932472</v>
      </c>
      <c r="P80" s="53">
        <f t="shared" si="3"/>
        <v>2.5633015078587298</v>
      </c>
      <c r="R80" s="151"/>
      <c r="S80" s="53">
        <v>1440</v>
      </c>
      <c r="T80" s="53">
        <f t="shared" si="4"/>
        <v>0.20282010087070776</v>
      </c>
      <c r="U80" s="53">
        <f t="shared" si="5"/>
        <v>0.30199081164861236</v>
      </c>
      <c r="V80" s="53">
        <f t="shared" si="6"/>
        <v>0.32913479252507355</v>
      </c>
      <c r="W80" s="53">
        <f t="shared" si="7"/>
        <v>0.32707381545527969</v>
      </c>
      <c r="X80" s="53">
        <f t="shared" si="8"/>
        <v>0.30519989744711279</v>
      </c>
    </row>
    <row r="85" spans="3:5" ht="28.8" x14ac:dyDescent="0.3">
      <c r="C85" s="31" t="s">
        <v>111</v>
      </c>
      <c r="D85" s="31"/>
      <c r="E85" s="31"/>
    </row>
  </sheetData>
  <mergeCells count="18">
    <mergeCell ref="B71:B80"/>
    <mergeCell ref="C1:H2"/>
    <mergeCell ref="L1:Q2"/>
    <mergeCell ref="C44:H44"/>
    <mergeCell ref="B45:B54"/>
    <mergeCell ref="C42:H43"/>
    <mergeCell ref="B4:B13"/>
    <mergeCell ref="C3:H3"/>
    <mergeCell ref="L3:Q3"/>
    <mergeCell ref="K4:K13"/>
    <mergeCell ref="K70:P70"/>
    <mergeCell ref="C68:H69"/>
    <mergeCell ref="C70:H70"/>
    <mergeCell ref="J71:J80"/>
    <mergeCell ref="K68:P69"/>
    <mergeCell ref="S70:X70"/>
    <mergeCell ref="R71:R80"/>
    <mergeCell ref="S68:X6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27FA-8DAC-426F-8262-5A95E6971FF7}">
  <dimension ref="A1:R111"/>
  <sheetViews>
    <sheetView zoomScale="88" zoomScaleNormal="74" workbookViewId="0">
      <selection activeCell="D23" sqref="D23"/>
    </sheetView>
  </sheetViews>
  <sheetFormatPr defaultRowHeight="14.4" x14ac:dyDescent="0.3"/>
  <cols>
    <col min="1" max="1" width="17.109375" customWidth="1"/>
    <col min="2" max="2" width="17.33203125" customWidth="1"/>
    <col min="3" max="3" width="15.77734375" customWidth="1"/>
    <col min="4" max="4" width="16.88671875" customWidth="1"/>
    <col min="5" max="5" width="25.44140625" customWidth="1"/>
    <col min="6" max="6" width="24.5546875" customWidth="1"/>
    <col min="7" max="7" width="17.21875" customWidth="1"/>
    <col min="8" max="8" width="33.5546875" customWidth="1"/>
    <col min="9" max="9" width="37.6640625" customWidth="1"/>
    <col min="10" max="10" width="25.77734375" customWidth="1"/>
    <col min="11" max="11" width="14.6640625" customWidth="1"/>
    <col min="12" max="12" width="20" customWidth="1"/>
    <col min="13" max="13" width="16.44140625" customWidth="1"/>
    <col min="14" max="14" width="20.6640625" customWidth="1"/>
    <col min="15" max="15" width="20.77734375" customWidth="1"/>
    <col min="16" max="16" width="18.21875" customWidth="1"/>
    <col min="17" max="17" width="17" customWidth="1"/>
    <col min="18" max="18" width="15.77734375" customWidth="1"/>
    <col min="19" max="19" width="15.44140625" customWidth="1"/>
    <col min="20" max="20" width="19.6640625" customWidth="1"/>
    <col min="21" max="21" width="14.21875" customWidth="1"/>
    <col min="22" max="22" width="17.33203125" customWidth="1"/>
  </cols>
  <sheetData>
    <row r="1" spans="1:7" ht="15" thickBot="1" x14ac:dyDescent="0.35"/>
    <row r="2" spans="1:7" ht="34.799999999999997" x14ac:dyDescent="0.3">
      <c r="A2" s="162" t="s">
        <v>54</v>
      </c>
      <c r="B2" s="23" t="s">
        <v>55</v>
      </c>
      <c r="C2" s="164" t="s">
        <v>57</v>
      </c>
      <c r="D2" s="165"/>
      <c r="E2" s="23" t="s">
        <v>58</v>
      </c>
      <c r="F2" s="162" t="s">
        <v>60</v>
      </c>
      <c r="G2" s="162" t="s">
        <v>61</v>
      </c>
    </row>
    <row r="3" spans="1:7" ht="18" thickBot="1" x14ac:dyDescent="0.35">
      <c r="A3" s="163"/>
      <c r="B3" s="24" t="s">
        <v>56</v>
      </c>
      <c r="C3" s="166"/>
      <c r="D3" s="167"/>
      <c r="E3" s="24" t="s">
        <v>59</v>
      </c>
      <c r="F3" s="163"/>
      <c r="G3" s="163"/>
    </row>
    <row r="4" spans="1:7" ht="18.600000000000001" thickBot="1" x14ac:dyDescent="0.35">
      <c r="A4" s="162" t="s">
        <v>62</v>
      </c>
      <c r="B4" s="169">
        <v>0.9</v>
      </c>
      <c r="C4" s="25" t="s">
        <v>63</v>
      </c>
      <c r="D4" s="25">
        <v>58</v>
      </c>
      <c r="E4" s="169">
        <v>87.2</v>
      </c>
      <c r="F4" s="169">
        <v>8.9999999999999993E-3</v>
      </c>
      <c r="G4" s="169">
        <v>3.9E-2</v>
      </c>
    </row>
    <row r="5" spans="1:7" ht="36.6" thickBot="1" x14ac:dyDescent="0.35">
      <c r="A5" s="168"/>
      <c r="B5" s="170"/>
      <c r="C5" s="25" t="s">
        <v>64</v>
      </c>
      <c r="D5" s="25">
        <v>32</v>
      </c>
      <c r="E5" s="170"/>
      <c r="F5" s="170"/>
      <c r="G5" s="170"/>
    </row>
    <row r="6" spans="1:7" ht="36.6" thickBot="1" x14ac:dyDescent="0.35">
      <c r="A6" s="163"/>
      <c r="B6" s="171"/>
      <c r="C6" s="25" t="s">
        <v>65</v>
      </c>
      <c r="D6" s="25">
        <v>10</v>
      </c>
      <c r="E6" s="171"/>
      <c r="F6" s="171"/>
      <c r="G6" s="171"/>
    </row>
    <row r="7" spans="1:7" ht="18.600000000000001" thickBot="1" x14ac:dyDescent="0.35">
      <c r="A7" s="162" t="s">
        <v>66</v>
      </c>
      <c r="B7" s="169">
        <v>0.85</v>
      </c>
      <c r="C7" s="25" t="s">
        <v>63</v>
      </c>
      <c r="D7" s="25">
        <v>60</v>
      </c>
      <c r="E7" s="169">
        <v>85.6</v>
      </c>
      <c r="F7" s="169">
        <v>8.0000000000000002E-3</v>
      </c>
      <c r="G7" s="169">
        <v>3.2000000000000001E-2</v>
      </c>
    </row>
    <row r="8" spans="1:7" ht="36.6" thickBot="1" x14ac:dyDescent="0.35">
      <c r="A8" s="168"/>
      <c r="B8" s="170"/>
      <c r="C8" s="25" t="s">
        <v>64</v>
      </c>
      <c r="D8" s="25">
        <v>32</v>
      </c>
      <c r="E8" s="170"/>
      <c r="F8" s="170"/>
      <c r="G8" s="170"/>
    </row>
    <row r="9" spans="1:7" ht="36.6" thickBot="1" x14ac:dyDescent="0.35">
      <c r="A9" s="163"/>
      <c r="B9" s="171"/>
      <c r="C9" s="25" t="s">
        <v>65</v>
      </c>
      <c r="D9" s="25">
        <v>8</v>
      </c>
      <c r="E9" s="171"/>
      <c r="F9" s="171"/>
      <c r="G9" s="171"/>
    </row>
    <row r="10" spans="1:7" ht="18.600000000000001" thickBot="1" x14ac:dyDescent="0.35">
      <c r="A10" s="162" t="s">
        <v>67</v>
      </c>
      <c r="B10" s="169">
        <v>0.4</v>
      </c>
      <c r="C10" s="25" t="s">
        <v>63</v>
      </c>
      <c r="D10" s="25">
        <v>40</v>
      </c>
      <c r="E10" s="169">
        <v>40.299999999999997</v>
      </c>
      <c r="F10" s="169">
        <v>0.01</v>
      </c>
      <c r="G10" s="169">
        <v>2.5000000000000001E-2</v>
      </c>
    </row>
    <row r="11" spans="1:7" ht="36.6" thickBot="1" x14ac:dyDescent="0.35">
      <c r="A11" s="168"/>
      <c r="B11" s="170"/>
      <c r="C11" s="25" t="s">
        <v>64</v>
      </c>
      <c r="D11" s="25">
        <v>50</v>
      </c>
      <c r="E11" s="170"/>
      <c r="F11" s="170"/>
      <c r="G11" s="170"/>
    </row>
    <row r="12" spans="1:7" ht="36.6" thickBot="1" x14ac:dyDescent="0.35">
      <c r="A12" s="163"/>
      <c r="B12" s="171"/>
      <c r="C12" s="25" t="s">
        <v>65</v>
      </c>
      <c r="D12" s="25">
        <v>10</v>
      </c>
      <c r="E12" s="171"/>
      <c r="F12" s="171"/>
      <c r="G12" s="171"/>
    </row>
    <row r="13" spans="1:7" ht="18.600000000000001" thickBot="1" x14ac:dyDescent="0.35">
      <c r="A13" s="162" t="s">
        <v>68</v>
      </c>
      <c r="B13" s="169">
        <v>0.82</v>
      </c>
      <c r="C13" s="25" t="s">
        <v>63</v>
      </c>
      <c r="D13" s="25">
        <v>62</v>
      </c>
      <c r="E13" s="169">
        <v>83.2</v>
      </c>
      <c r="F13" s="169">
        <v>1.2E-2</v>
      </c>
      <c r="G13" s="169">
        <v>0.03</v>
      </c>
    </row>
    <row r="14" spans="1:7" ht="36.6" thickBot="1" x14ac:dyDescent="0.35">
      <c r="A14" s="168"/>
      <c r="B14" s="170"/>
      <c r="C14" s="25" t="s">
        <v>64</v>
      </c>
      <c r="D14" s="25">
        <v>30</v>
      </c>
      <c r="E14" s="170"/>
      <c r="F14" s="170"/>
      <c r="G14" s="170"/>
    </row>
    <row r="15" spans="1:7" ht="36.6" thickBot="1" x14ac:dyDescent="0.35">
      <c r="A15" s="163"/>
      <c r="B15" s="171"/>
      <c r="C15" s="25" t="s">
        <v>65</v>
      </c>
      <c r="D15" s="25">
        <v>8</v>
      </c>
      <c r="E15" s="171"/>
      <c r="F15" s="171"/>
      <c r="G15" s="171"/>
    </row>
    <row r="16" spans="1:7" ht="18.600000000000001" thickBot="1" x14ac:dyDescent="0.35">
      <c r="A16" s="162" t="s">
        <v>69</v>
      </c>
      <c r="B16" s="169">
        <v>0.9</v>
      </c>
      <c r="C16" s="25" t="s">
        <v>63</v>
      </c>
      <c r="D16" s="25">
        <v>55</v>
      </c>
      <c r="E16" s="169">
        <v>86</v>
      </c>
      <c r="F16" s="169">
        <v>1.2999999999999999E-3</v>
      </c>
      <c r="G16" s="169">
        <v>3.5000000000000003E-2</v>
      </c>
    </row>
    <row r="17" spans="1:18" ht="36.6" thickBot="1" x14ac:dyDescent="0.35">
      <c r="A17" s="168"/>
      <c r="B17" s="170"/>
      <c r="C17" s="25" t="s">
        <v>64</v>
      </c>
      <c r="D17" s="25">
        <v>35</v>
      </c>
      <c r="E17" s="170"/>
      <c r="F17" s="170"/>
      <c r="G17" s="170"/>
    </row>
    <row r="18" spans="1:18" ht="36.6" thickBot="1" x14ac:dyDescent="0.35">
      <c r="A18" s="163"/>
      <c r="B18" s="171"/>
      <c r="C18" s="25" t="s">
        <v>65</v>
      </c>
      <c r="D18" s="25">
        <v>10</v>
      </c>
      <c r="E18" s="171"/>
      <c r="F18" s="171"/>
      <c r="G18" s="171"/>
    </row>
    <row r="19" spans="1:18" ht="15" thickBot="1" x14ac:dyDescent="0.35"/>
    <row r="20" spans="1:18" ht="35.4" thickBot="1" x14ac:dyDescent="0.35">
      <c r="A20" s="26" t="s">
        <v>70</v>
      </c>
      <c r="B20" s="27" t="s">
        <v>71</v>
      </c>
      <c r="C20" s="27" t="s">
        <v>72</v>
      </c>
    </row>
    <row r="21" spans="1:18" ht="18.600000000000001" thickBot="1" x14ac:dyDescent="0.35">
      <c r="A21" s="28">
        <v>44501</v>
      </c>
      <c r="B21" s="25">
        <v>1000</v>
      </c>
      <c r="C21" s="25">
        <v>2E-3</v>
      </c>
    </row>
    <row r="22" spans="1:18" ht="18.600000000000001" thickBot="1" x14ac:dyDescent="0.35">
      <c r="A22" s="29" t="s">
        <v>73</v>
      </c>
      <c r="B22" s="25">
        <v>400</v>
      </c>
      <c r="C22" s="25">
        <v>3.5000000000000001E-3</v>
      </c>
    </row>
    <row r="23" spans="1:18" ht="18.600000000000001" thickBot="1" x14ac:dyDescent="0.35">
      <c r="A23" s="29" t="s">
        <v>74</v>
      </c>
      <c r="B23" s="25">
        <v>500</v>
      </c>
      <c r="C23" s="25">
        <v>1E-3</v>
      </c>
    </row>
    <row r="24" spans="1:18" ht="18.600000000000001" thickBot="1" x14ac:dyDescent="0.35">
      <c r="A24" s="29" t="s">
        <v>75</v>
      </c>
      <c r="B24" s="25">
        <v>600</v>
      </c>
      <c r="C24" s="25">
        <v>4.0000000000000001E-3</v>
      </c>
    </row>
    <row r="25" spans="1:18" ht="18.600000000000001" thickBot="1" x14ac:dyDescent="0.35">
      <c r="A25" s="29" t="s">
        <v>76</v>
      </c>
      <c r="B25" s="25">
        <v>600</v>
      </c>
      <c r="C25" s="25">
        <v>3.2000000000000002E-3</v>
      </c>
    </row>
    <row r="26" spans="1:18" ht="18.600000000000001" thickBot="1" x14ac:dyDescent="0.35">
      <c r="A26" s="29" t="s">
        <v>77</v>
      </c>
      <c r="B26" s="25">
        <v>700</v>
      </c>
      <c r="C26" s="25">
        <v>4.1999999999999997E-3</v>
      </c>
    </row>
    <row r="28" spans="1:18" ht="15" thickBot="1" x14ac:dyDescent="0.35"/>
    <row r="29" spans="1:18" x14ac:dyDescent="0.3">
      <c r="A29" s="72" t="s">
        <v>119</v>
      </c>
      <c r="B29" s="72">
        <f>5</f>
        <v>5</v>
      </c>
      <c r="D29" s="159" t="s">
        <v>118</v>
      </c>
      <c r="E29" s="160"/>
      <c r="F29" s="161"/>
      <c r="G29" s="159" t="s">
        <v>120</v>
      </c>
      <c r="H29" s="160"/>
      <c r="I29" s="161"/>
      <c r="J29" s="159" t="s">
        <v>121</v>
      </c>
      <c r="K29" s="160"/>
      <c r="L29" s="161"/>
      <c r="M29" s="159" t="s">
        <v>122</v>
      </c>
      <c r="N29" s="160"/>
      <c r="O29" s="161"/>
      <c r="P29" s="159" t="s">
        <v>123</v>
      </c>
      <c r="Q29" s="160"/>
      <c r="R29" s="161"/>
    </row>
    <row r="30" spans="1:18" x14ac:dyDescent="0.3">
      <c r="A30" s="133" t="s">
        <v>107</v>
      </c>
      <c r="B30" s="72">
        <f>'IDF Curve'!$C$58</f>
        <v>768.14920124770845</v>
      </c>
      <c r="D30" s="39" t="s">
        <v>124</v>
      </c>
      <c r="E30" s="11">
        <v>21.559709792642657</v>
      </c>
      <c r="F30" s="40"/>
      <c r="G30" s="39" t="s">
        <v>124</v>
      </c>
      <c r="H30" s="11">
        <v>10.429545453961245</v>
      </c>
      <c r="I30" s="40"/>
      <c r="J30" s="39" t="s">
        <v>124</v>
      </c>
      <c r="K30" s="11">
        <v>19.491095283541757</v>
      </c>
      <c r="L30" s="40"/>
      <c r="M30" s="39" t="s">
        <v>124</v>
      </c>
      <c r="N30" s="11">
        <v>15.966529120921493</v>
      </c>
      <c r="O30" s="40"/>
      <c r="P30" s="39" t="s">
        <v>124</v>
      </c>
      <c r="Q30" s="11">
        <v>38.516890251825103</v>
      </c>
      <c r="R30" s="40"/>
    </row>
    <row r="31" spans="1:18" x14ac:dyDescent="0.3">
      <c r="A31" s="133" t="s">
        <v>11</v>
      </c>
      <c r="B31" s="72">
        <f>'IDF Curve'!$C$59</f>
        <v>6.6674904646060684E-2</v>
      </c>
      <c r="D31" s="39"/>
      <c r="E31" s="11">
        <f>I38*$B$30*(($B$29)^$B$31)/(E30+$B$32)^$B$33</f>
        <v>12.863461322092084</v>
      </c>
      <c r="F31" s="40">
        <f>(6.99*((G4*E4/SQRT(F4))^0.6)/E30)^2.5</f>
        <v>12.84622186984133</v>
      </c>
      <c r="G31" s="39"/>
      <c r="H31" s="11">
        <f>I41*$B$30*(($B$29)^$B$31)/(H30+$B$32)^$B$33</f>
        <v>11.76317050258606</v>
      </c>
      <c r="I31" s="40">
        <f>(6.99*((G10*E10/SQRT(F10))^0.6)/H30)^2.5</f>
        <v>11.759722365278794</v>
      </c>
      <c r="J31" s="39"/>
      <c r="K31" s="11">
        <f>I45*$B$30*(($B$29)^$B$31)/(K30+$B$32)^$B$33</f>
        <v>13.071716891527087</v>
      </c>
      <c r="L31" s="40">
        <f>(6.99*((G7*E7/SQRT(F7))^0.6)/K30)^2.5</f>
        <v>13.053303991809475</v>
      </c>
      <c r="M31" s="39"/>
      <c r="N31" s="11">
        <f>I50*$B$30*(($B$29)^$B$31)/(N30+$B$32)^$B$33</f>
        <v>13.803744167737518</v>
      </c>
      <c r="O31" s="40">
        <f>(6.99*((G13*E13/SQRT(F13))^0.6)/N30)^2.5</f>
        <v>13.792645776699281</v>
      </c>
      <c r="P31" s="39"/>
      <c r="Q31" s="11">
        <f>I53*$B$30*(($B$29)^$B$31)/(Q30+$B$32)^$B$33</f>
        <v>10.793389895996643</v>
      </c>
      <c r="R31" s="40">
        <f>(6.99*((G16*E16/SQRT(F16))^0.6)/Q30)^2.5</f>
        <v>10.70180733822297</v>
      </c>
    </row>
    <row r="32" spans="1:18" ht="15" thickBot="1" x14ac:dyDescent="0.35">
      <c r="A32" s="133" t="s">
        <v>108</v>
      </c>
      <c r="B32" s="72">
        <f>'IDF Curve'!$C$60</f>
        <v>65.725906658709164</v>
      </c>
      <c r="D32" s="41" t="s">
        <v>145</v>
      </c>
      <c r="E32" s="42">
        <f>E31-F31</f>
        <v>1.7239452250754184E-2</v>
      </c>
      <c r="F32" s="43"/>
      <c r="G32" s="41" t="s">
        <v>145</v>
      </c>
      <c r="H32" s="42">
        <f>H31-I31</f>
        <v>3.4481373072665633E-3</v>
      </c>
      <c r="I32" s="43"/>
      <c r="J32" s="41" t="s">
        <v>145</v>
      </c>
      <c r="K32" s="42">
        <f>K31-L31</f>
        <v>1.8412899717612063E-2</v>
      </c>
      <c r="L32" s="43"/>
      <c r="M32" s="41" t="s">
        <v>145</v>
      </c>
      <c r="N32" s="42">
        <f>N31-O31</f>
        <v>1.1098391038236954E-2</v>
      </c>
      <c r="O32" s="43"/>
      <c r="P32" s="41" t="s">
        <v>145</v>
      </c>
      <c r="Q32" s="42">
        <f>Q31-R31</f>
        <v>9.1582557773673301E-2</v>
      </c>
      <c r="R32" s="43"/>
    </row>
    <row r="33" spans="1:16" x14ac:dyDescent="0.3">
      <c r="A33" s="133" t="s">
        <v>109</v>
      </c>
      <c r="B33" s="72">
        <f>'IDF Curve'!$C$61</f>
        <v>0.81501939309932225</v>
      </c>
    </row>
    <row r="36" spans="1:16" ht="15" thickBot="1" x14ac:dyDescent="0.35"/>
    <row r="37" spans="1:16" s="112" customFormat="1" ht="48" customHeight="1" thickBot="1" x14ac:dyDescent="0.35">
      <c r="B37" s="129" t="s">
        <v>80</v>
      </c>
      <c r="C37" s="113" t="s">
        <v>114</v>
      </c>
      <c r="D37" s="113" t="s">
        <v>97</v>
      </c>
      <c r="E37" s="113" t="s">
        <v>98</v>
      </c>
      <c r="F37" s="113" t="s">
        <v>101</v>
      </c>
      <c r="G37" s="113" t="s">
        <v>87</v>
      </c>
      <c r="H37" s="113" t="s">
        <v>81</v>
      </c>
      <c r="I37" s="113" t="s">
        <v>99</v>
      </c>
      <c r="J37" s="113" t="s">
        <v>82</v>
      </c>
      <c r="K37" s="113" t="s">
        <v>83</v>
      </c>
      <c r="L37" s="113" t="s">
        <v>154</v>
      </c>
      <c r="M37" s="114" t="s">
        <v>113</v>
      </c>
      <c r="N37" s="114" t="s">
        <v>84</v>
      </c>
      <c r="O37" s="113" t="s">
        <v>112</v>
      </c>
      <c r="P37" s="47" t="s">
        <v>85</v>
      </c>
    </row>
    <row r="38" spans="1:16" x14ac:dyDescent="0.3">
      <c r="B38" s="130" t="s">
        <v>86</v>
      </c>
      <c r="C38" s="37" t="s">
        <v>62</v>
      </c>
      <c r="D38" s="106">
        <v>0.9</v>
      </c>
      <c r="E38" s="106">
        <f>D38/100</f>
        <v>9.0000000000000011E-3</v>
      </c>
      <c r="F38" s="37" t="s">
        <v>63</v>
      </c>
      <c r="G38" s="37">
        <f>D4</f>
        <v>58</v>
      </c>
      <c r="H38" s="37">
        <v>0.75</v>
      </c>
      <c r="I38" s="37">
        <f>(H38*G38+H39*G39+H40*G40)/100</f>
        <v>0.57440000000000002</v>
      </c>
      <c r="J38" s="37">
        <f>I38*E38</f>
        <v>5.1696000000000008E-3</v>
      </c>
      <c r="K38" s="37">
        <f>J38</f>
        <v>5.1696000000000008E-3</v>
      </c>
      <c r="L38" s="37">
        <f>E30</f>
        <v>21.559709792642657</v>
      </c>
      <c r="M38" s="37"/>
      <c r="N38" s="37">
        <f>L38</f>
        <v>21.559709792642657</v>
      </c>
      <c r="O38" s="37">
        <f>N38</f>
        <v>21.559709792642657</v>
      </c>
      <c r="P38" s="38">
        <f>$B$30*($B$29^$B$31)/(O38+$B$32)^$B$33</f>
        <v>22.394605365759201</v>
      </c>
    </row>
    <row r="39" spans="1:16" x14ac:dyDescent="0.3">
      <c r="B39" s="131"/>
      <c r="C39" s="11"/>
      <c r="D39" s="105"/>
      <c r="E39" s="105"/>
      <c r="F39" s="11" t="s">
        <v>64</v>
      </c>
      <c r="G39" s="11">
        <f>D5</f>
        <v>32</v>
      </c>
      <c r="H39" s="11">
        <v>0.17</v>
      </c>
      <c r="I39" s="11"/>
      <c r="J39" s="11"/>
      <c r="K39" s="11"/>
      <c r="L39" s="11"/>
      <c r="M39" s="11"/>
      <c r="N39" s="11"/>
      <c r="O39" s="11"/>
      <c r="P39" s="40"/>
    </row>
    <row r="40" spans="1:16" ht="15" thickBot="1" x14ac:dyDescent="0.35">
      <c r="B40" s="132"/>
      <c r="C40" s="42"/>
      <c r="D40" s="107"/>
      <c r="E40" s="107"/>
      <c r="F40" s="42" t="s">
        <v>65</v>
      </c>
      <c r="G40" s="42">
        <f>D6</f>
        <v>10</v>
      </c>
      <c r="H40" s="42">
        <v>0.85</v>
      </c>
      <c r="I40" s="42"/>
      <c r="J40" s="42"/>
      <c r="K40" s="42"/>
      <c r="L40" s="42"/>
      <c r="M40" s="42"/>
      <c r="N40" s="42"/>
      <c r="O40" s="42"/>
      <c r="P40" s="43"/>
    </row>
    <row r="41" spans="1:16" x14ac:dyDescent="0.3">
      <c r="B41" s="130" t="s">
        <v>88</v>
      </c>
      <c r="C41" s="99" t="s">
        <v>67</v>
      </c>
      <c r="D41" s="106">
        <f>B10</f>
        <v>0.4</v>
      </c>
      <c r="E41" s="106">
        <f>D41/100</f>
        <v>4.0000000000000001E-3</v>
      </c>
      <c r="F41" s="37" t="s">
        <v>63</v>
      </c>
      <c r="G41" s="37">
        <v>40</v>
      </c>
      <c r="H41" s="37">
        <v>0.75</v>
      </c>
      <c r="I41" s="37">
        <f>(H41*G41+H42*G42+H43*G43)/100</f>
        <v>0.47</v>
      </c>
      <c r="J41" s="37">
        <f>I41*E41</f>
        <v>1.8799999999999999E-3</v>
      </c>
      <c r="K41" s="37">
        <f>J41+J44</f>
        <v>7.0496000000000005E-3</v>
      </c>
      <c r="L41" s="37">
        <f>H30</f>
        <v>10.429545453961245</v>
      </c>
      <c r="M41" s="37"/>
      <c r="N41" s="37">
        <f>L41</f>
        <v>10.429545453961245</v>
      </c>
      <c r="O41" s="37"/>
      <c r="P41" s="38"/>
    </row>
    <row r="42" spans="1:16" x14ac:dyDescent="0.3">
      <c r="B42" s="131"/>
      <c r="C42" s="10"/>
      <c r="D42" s="105"/>
      <c r="E42" s="105"/>
      <c r="F42" s="11" t="s">
        <v>64</v>
      </c>
      <c r="G42" s="11">
        <v>50</v>
      </c>
      <c r="H42" s="11">
        <v>0.17</v>
      </c>
      <c r="I42" s="11"/>
      <c r="J42" s="11"/>
      <c r="K42" s="11"/>
      <c r="L42" s="11"/>
      <c r="M42" s="11"/>
      <c r="N42" s="11"/>
      <c r="O42" s="11"/>
      <c r="P42" s="40"/>
    </row>
    <row r="43" spans="1:16" x14ac:dyDescent="0.3">
      <c r="B43" s="131"/>
      <c r="C43" s="13"/>
      <c r="D43" s="105"/>
      <c r="E43" s="105"/>
      <c r="F43" s="11" t="s">
        <v>65</v>
      </c>
      <c r="G43" s="11">
        <v>10</v>
      </c>
      <c r="H43" s="11">
        <v>0.85</v>
      </c>
      <c r="I43" s="11"/>
      <c r="J43" s="11"/>
      <c r="K43" s="11"/>
      <c r="L43" s="11"/>
      <c r="M43" s="11"/>
      <c r="N43" s="11"/>
      <c r="O43" s="11"/>
      <c r="P43" s="40"/>
    </row>
    <row r="44" spans="1:16" ht="15" thickBot="1" x14ac:dyDescent="0.35">
      <c r="B44" s="132"/>
      <c r="C44" s="102" t="s">
        <v>86</v>
      </c>
      <c r="D44" s="108"/>
      <c r="E44" s="108"/>
      <c r="F44" s="93"/>
      <c r="G44" s="93"/>
      <c r="H44" s="93"/>
      <c r="I44" s="93"/>
      <c r="J44" s="93">
        <f>J38</f>
        <v>5.1696000000000008E-3</v>
      </c>
      <c r="K44" s="93"/>
      <c r="L44" s="93">
        <f>O38</f>
        <v>21.559709792642657</v>
      </c>
      <c r="M44" s="93">
        <f>I62</f>
        <v>82.426299892206018</v>
      </c>
      <c r="N44" s="93">
        <f>Table1[[#This Row],[Upstream Sewer flow time (min)]]+Table1[[#This Row],[Inlet Time (min)]]</f>
        <v>103.98600968484868</v>
      </c>
      <c r="O44" s="93">
        <f>Table1[[#This Row],[Time of concentration (tc)]]</f>
        <v>103.98600968484868</v>
      </c>
      <c r="P44" s="94">
        <f>$B$30*($B$29^$B$31)/(O44+$B$32)^$B$33</f>
        <v>13.025384302733251</v>
      </c>
    </row>
    <row r="45" spans="1:16" x14ac:dyDescent="0.3">
      <c r="B45" s="130" t="s">
        <v>103</v>
      </c>
      <c r="C45" s="37" t="s">
        <v>66</v>
      </c>
      <c r="D45" s="106">
        <f>B7</f>
        <v>0.85</v>
      </c>
      <c r="E45" s="106">
        <f>D45/100</f>
        <v>8.5000000000000006E-3</v>
      </c>
      <c r="F45" s="37" t="s">
        <v>63</v>
      </c>
      <c r="G45" s="37">
        <v>60</v>
      </c>
      <c r="H45" s="37">
        <v>0.75</v>
      </c>
      <c r="I45" s="37">
        <f>(H45*G45+H46*G46+H47*G47)/100</f>
        <v>0.57239999999999991</v>
      </c>
      <c r="J45" s="37">
        <f>I45*E45</f>
        <v>4.8653999999999998E-3</v>
      </c>
      <c r="K45" s="37">
        <f>J45</f>
        <v>4.8653999999999998E-3</v>
      </c>
      <c r="L45" s="37">
        <f>K30</f>
        <v>19.491095283541757</v>
      </c>
      <c r="M45" s="37"/>
      <c r="N45" s="37">
        <f>Table1[[#This Row],[Inlet Time (min)]]</f>
        <v>19.491095283541757</v>
      </c>
      <c r="O45" s="37">
        <f>Table1[[#This Row],[Time of concentration (tc)]]</f>
        <v>19.491095283541757</v>
      </c>
      <c r="P45" s="38">
        <f>$B$30*($B$29^$B$31)/(O45+$B$32)^$B$33</f>
        <v>22.836682200431675</v>
      </c>
    </row>
    <row r="46" spans="1:16" x14ac:dyDescent="0.3">
      <c r="B46" s="131"/>
      <c r="C46" s="11"/>
      <c r="D46" s="105"/>
      <c r="E46" s="105"/>
      <c r="F46" s="11" t="s">
        <v>64</v>
      </c>
      <c r="G46" s="11">
        <v>32</v>
      </c>
      <c r="H46" s="11">
        <v>0.17</v>
      </c>
      <c r="I46" s="11"/>
      <c r="J46" s="11"/>
      <c r="K46" s="11"/>
      <c r="L46" s="11"/>
      <c r="M46" s="11"/>
      <c r="N46" s="11"/>
      <c r="O46" s="11"/>
      <c r="P46" s="40"/>
    </row>
    <row r="47" spans="1:16" ht="15" thickBot="1" x14ac:dyDescent="0.35">
      <c r="B47" s="132"/>
      <c r="C47" s="42"/>
      <c r="D47" s="107"/>
      <c r="E47" s="107"/>
      <c r="F47" s="42" t="s">
        <v>65</v>
      </c>
      <c r="G47" s="42">
        <v>8</v>
      </c>
      <c r="H47" s="42">
        <v>0.85</v>
      </c>
      <c r="I47" s="42"/>
      <c r="J47" s="42"/>
      <c r="K47" s="42"/>
      <c r="L47" s="42"/>
      <c r="M47" s="42"/>
      <c r="N47" s="42"/>
      <c r="O47" s="42"/>
      <c r="P47" s="43"/>
    </row>
    <row r="48" spans="1:16" x14ac:dyDescent="0.3">
      <c r="B48" s="130" t="s">
        <v>100</v>
      </c>
      <c r="C48" s="97" t="s">
        <v>88</v>
      </c>
      <c r="D48" s="109"/>
      <c r="E48" s="109"/>
      <c r="F48" s="95"/>
      <c r="G48" s="95"/>
      <c r="H48" s="95"/>
      <c r="I48" s="95"/>
      <c r="J48" s="95">
        <f>K41</f>
        <v>7.0496000000000005E-3</v>
      </c>
      <c r="K48" s="95">
        <f>J48+J49</f>
        <v>1.1915E-2</v>
      </c>
      <c r="L48" s="95">
        <f>O44</f>
        <v>103.98600968484868</v>
      </c>
      <c r="M48" s="95">
        <f>I63</f>
        <v>41.569148593642794</v>
      </c>
      <c r="N48" s="95">
        <f>Table1[[#This Row],[Upstream Sewer flow time (min)]]+Table1[[#This Row],[Inlet Time (min)]]</f>
        <v>145.55515827849149</v>
      </c>
      <c r="O48" s="95"/>
      <c r="P48" s="96"/>
    </row>
    <row r="49" spans="2:16" ht="15" thickBot="1" x14ac:dyDescent="0.35">
      <c r="B49" s="132"/>
      <c r="C49" s="98" t="s">
        <v>103</v>
      </c>
      <c r="D49" s="107"/>
      <c r="E49" s="107"/>
      <c r="F49" s="42"/>
      <c r="G49" s="42"/>
      <c r="H49" s="42"/>
      <c r="I49" s="42"/>
      <c r="J49" s="42">
        <f>K45</f>
        <v>4.8653999999999998E-3</v>
      </c>
      <c r="K49" s="42"/>
      <c r="L49" s="42">
        <f>O45</f>
        <v>19.491095283541757</v>
      </c>
      <c r="M49" s="42">
        <f>I64</f>
        <v>51.530677296097053</v>
      </c>
      <c r="N49" s="42">
        <f>Table1[[#This Row],[Upstream Sewer flow time (min)]]+Table1[[#This Row],[Inlet Time (min)]]</f>
        <v>71.021772579638807</v>
      </c>
      <c r="O49" s="42">
        <f>N48</f>
        <v>145.55515827849149</v>
      </c>
      <c r="P49" s="43">
        <f>$B$30*($B$29^$B$31)/(O49+$B$32)^$B$33</f>
        <v>10.895392623887872</v>
      </c>
    </row>
    <row r="50" spans="2:16" x14ac:dyDescent="0.3">
      <c r="B50" s="130" t="s">
        <v>104</v>
      </c>
      <c r="C50" s="37" t="s">
        <v>68</v>
      </c>
      <c r="D50" s="106">
        <f>B13</f>
        <v>0.82</v>
      </c>
      <c r="E50" s="106">
        <f>D50/100</f>
        <v>8.199999999999999E-3</v>
      </c>
      <c r="F50" s="37" t="s">
        <v>63</v>
      </c>
      <c r="G50" s="37">
        <f t="shared" ref="G50:G55" si="0">D13</f>
        <v>62</v>
      </c>
      <c r="H50" s="37">
        <v>0.75</v>
      </c>
      <c r="I50" s="37">
        <f>(H50*G50+H51*G51+H52*G52)/100</f>
        <v>0.58399999999999996</v>
      </c>
      <c r="J50" s="37">
        <f>I50*E50</f>
        <v>4.7887999999999993E-3</v>
      </c>
      <c r="K50" s="37">
        <f>J50</f>
        <v>4.7887999999999993E-3</v>
      </c>
      <c r="L50" s="37">
        <f>N30</f>
        <v>15.966529120921493</v>
      </c>
      <c r="M50" s="37"/>
      <c r="N50" s="37">
        <f>Table1[[#This Row],[Inlet Time (min)]]</f>
        <v>15.966529120921493</v>
      </c>
      <c r="O50" s="37"/>
      <c r="P50" s="38"/>
    </row>
    <row r="51" spans="2:16" x14ac:dyDescent="0.3">
      <c r="B51" s="131"/>
      <c r="C51" s="11"/>
      <c r="D51" s="105"/>
      <c r="E51" s="105"/>
      <c r="F51" s="11" t="s">
        <v>64</v>
      </c>
      <c r="G51" s="11">
        <f t="shared" si="0"/>
        <v>30</v>
      </c>
      <c r="H51" s="11">
        <v>0.17</v>
      </c>
      <c r="I51" s="11"/>
      <c r="J51" s="11"/>
      <c r="K51" s="11"/>
      <c r="L51" s="11"/>
      <c r="M51" s="11"/>
      <c r="N51" s="11"/>
      <c r="O51" s="11"/>
      <c r="P51" s="40"/>
    </row>
    <row r="52" spans="2:16" ht="15" thickBot="1" x14ac:dyDescent="0.35">
      <c r="B52" s="132"/>
      <c r="C52" s="42"/>
      <c r="D52" s="107"/>
      <c r="E52" s="107"/>
      <c r="F52" s="42" t="s">
        <v>65</v>
      </c>
      <c r="G52" s="42">
        <f t="shared" si="0"/>
        <v>8</v>
      </c>
      <c r="H52" s="42">
        <v>0.85</v>
      </c>
      <c r="I52" s="42"/>
      <c r="J52" s="42"/>
      <c r="K52" s="42"/>
      <c r="L52" s="42"/>
      <c r="M52" s="42"/>
      <c r="N52" s="42"/>
      <c r="O52" s="42">
        <f>N50</f>
        <v>15.966529120921493</v>
      </c>
      <c r="P52" s="43">
        <f>$B$30*($B$29^$B$31)/(O52+$B$32)^$B$33</f>
        <v>23.636548232427263</v>
      </c>
    </row>
    <row r="53" spans="2:16" x14ac:dyDescent="0.3">
      <c r="B53" s="130" t="s">
        <v>105</v>
      </c>
      <c r="C53" s="37" t="s">
        <v>69</v>
      </c>
      <c r="D53" s="106">
        <f>B16</f>
        <v>0.9</v>
      </c>
      <c r="E53" s="106">
        <f>D53/100</f>
        <v>9.0000000000000011E-3</v>
      </c>
      <c r="F53" s="37" t="s">
        <v>63</v>
      </c>
      <c r="G53" s="37">
        <f t="shared" si="0"/>
        <v>55</v>
      </c>
      <c r="H53" s="37">
        <v>0.75</v>
      </c>
      <c r="I53" s="37">
        <f>(H53*G53+H54*G54+H55*G55)/100</f>
        <v>0.55700000000000005</v>
      </c>
      <c r="J53" s="37">
        <f>I53*E53</f>
        <v>5.013000000000001E-3</v>
      </c>
      <c r="K53" s="37">
        <f>J53</f>
        <v>5.013000000000001E-3</v>
      </c>
      <c r="L53" s="37">
        <f>Q30</f>
        <v>38.516890251825103</v>
      </c>
      <c r="M53" s="37"/>
      <c r="N53" s="37">
        <f>Table1[[#This Row],[Inlet Time (min)]]</f>
        <v>38.516890251825103</v>
      </c>
      <c r="O53" s="37"/>
      <c r="P53" s="38"/>
    </row>
    <row r="54" spans="2:16" x14ac:dyDescent="0.3">
      <c r="B54" s="131"/>
      <c r="C54" s="11"/>
      <c r="D54" s="105"/>
      <c r="E54" s="105"/>
      <c r="F54" s="11" t="s">
        <v>64</v>
      </c>
      <c r="G54" s="11">
        <f t="shared" si="0"/>
        <v>35</v>
      </c>
      <c r="H54" s="11">
        <v>0.17</v>
      </c>
      <c r="I54" s="11"/>
      <c r="J54" s="11"/>
      <c r="K54" s="11"/>
      <c r="L54" s="11"/>
      <c r="M54" s="11"/>
      <c r="N54" s="11"/>
      <c r="O54" s="11"/>
      <c r="P54" s="40"/>
    </row>
    <row r="55" spans="2:16" ht="15" thickBot="1" x14ac:dyDescent="0.35">
      <c r="B55" s="132"/>
      <c r="C55" s="42"/>
      <c r="D55" s="107"/>
      <c r="E55" s="107"/>
      <c r="F55" s="42" t="s">
        <v>65</v>
      </c>
      <c r="G55" s="42">
        <f t="shared" si="0"/>
        <v>10</v>
      </c>
      <c r="H55" s="42">
        <v>0.85</v>
      </c>
      <c r="I55" s="42"/>
      <c r="J55" s="42"/>
      <c r="K55" s="42"/>
      <c r="L55" s="42"/>
      <c r="M55" s="42"/>
      <c r="N55" s="42"/>
      <c r="O55" s="42">
        <f>N53</f>
        <v>38.516890251825103</v>
      </c>
      <c r="P55" s="43">
        <f>$B$30*($B$29^$B$31)/(O55+$B$32)^$B$33</f>
        <v>19.377719741466144</v>
      </c>
    </row>
    <row r="56" spans="2:16" x14ac:dyDescent="0.3">
      <c r="B56" s="130" t="s">
        <v>102</v>
      </c>
      <c r="C56" s="97" t="s">
        <v>100</v>
      </c>
      <c r="D56" s="95"/>
      <c r="E56" s="95"/>
      <c r="F56" s="95"/>
      <c r="G56" s="95"/>
      <c r="H56" s="95"/>
      <c r="I56" s="95"/>
      <c r="J56" s="95">
        <f>K48</f>
        <v>1.1915E-2</v>
      </c>
      <c r="K56" s="95">
        <f>J56+J57+J58</f>
        <v>2.1716799999999998E-2</v>
      </c>
      <c r="L56" s="95">
        <f>O49</f>
        <v>145.55515827849149</v>
      </c>
      <c r="M56" s="95">
        <f>I65</f>
        <v>36.753544778658679</v>
      </c>
      <c r="N56" s="95">
        <f>Table1[[#This Row],[Inlet Time (min)]]+Table1[[#This Row],[Upstream Sewer flow time (min)]]</f>
        <v>182.30870305715018</v>
      </c>
      <c r="O56" s="95"/>
      <c r="P56" s="96"/>
    </row>
    <row r="57" spans="2:16" x14ac:dyDescent="0.3">
      <c r="B57" s="131"/>
      <c r="C57" s="71" t="s">
        <v>104</v>
      </c>
      <c r="D57" s="100"/>
      <c r="E57" s="100"/>
      <c r="F57" s="100"/>
      <c r="G57" s="100"/>
      <c r="H57" s="100"/>
      <c r="I57" s="100"/>
      <c r="J57" s="100">
        <f>K50</f>
        <v>4.7887999999999993E-3</v>
      </c>
      <c r="K57" s="100"/>
      <c r="L57" s="100">
        <f>O52</f>
        <v>15.966529120921493</v>
      </c>
      <c r="M57" s="100">
        <f>I66</f>
        <v>50.583241389320889</v>
      </c>
      <c r="N57" s="100">
        <f>Table1[[#This Row],[Inlet Time (min)]]+Table1[[#This Row],[Upstream Sewer flow time (min)]]</f>
        <v>66.549770510242382</v>
      </c>
      <c r="O57" s="100"/>
      <c r="P57" s="101"/>
    </row>
    <row r="58" spans="2:16" ht="15" thickBot="1" x14ac:dyDescent="0.35">
      <c r="B58" s="132"/>
      <c r="C58" s="98" t="s">
        <v>105</v>
      </c>
      <c r="D58" s="42"/>
      <c r="E58" s="42"/>
      <c r="F58" s="42"/>
      <c r="G58" s="42"/>
      <c r="H58" s="42"/>
      <c r="I58" s="42"/>
      <c r="J58" s="42">
        <f>K53</f>
        <v>5.013000000000001E-3</v>
      </c>
      <c r="K58" s="42"/>
      <c r="L58" s="42">
        <f>O55</f>
        <v>38.516890251825103</v>
      </c>
      <c r="M58" s="42">
        <f>I67</f>
        <v>68.764426335221813</v>
      </c>
      <c r="N58" s="42">
        <f>Table1[[#This Row],[Inlet Time (min)]]+Table1[[#This Row],[Upstream Sewer flow time (min)]]</f>
        <v>107.28131658704692</v>
      </c>
      <c r="O58" s="42">
        <f>N56</f>
        <v>182.30870305715018</v>
      </c>
      <c r="P58" s="43">
        <f>$B$30*($B$29^$B$31)/(O58+$B$32)^$B$33</f>
        <v>9.5603852382722909</v>
      </c>
    </row>
    <row r="61" spans="2:16" s="30" customFormat="1" ht="28.8" x14ac:dyDescent="0.3">
      <c r="B61" s="49" t="s">
        <v>70</v>
      </c>
      <c r="C61" s="50" t="s">
        <v>89</v>
      </c>
      <c r="D61" s="50" t="s">
        <v>90</v>
      </c>
      <c r="E61" s="50" t="s">
        <v>96</v>
      </c>
      <c r="F61" s="50" t="s">
        <v>92</v>
      </c>
      <c r="G61" s="50" t="s">
        <v>91</v>
      </c>
      <c r="H61" s="50" t="s">
        <v>93</v>
      </c>
      <c r="I61" s="50" t="s">
        <v>94</v>
      </c>
      <c r="J61" s="51" t="s">
        <v>95</v>
      </c>
      <c r="L61"/>
    </row>
    <row r="62" spans="2:16" x14ac:dyDescent="0.3">
      <c r="B62" s="127" t="s">
        <v>86</v>
      </c>
      <c r="C62" s="53">
        <f>B21</f>
        <v>1000</v>
      </c>
      <c r="D62" s="53">
        <f>C21</f>
        <v>2E-3</v>
      </c>
      <c r="E62" s="53">
        <f>J38*P38/3.6</f>
        <v>3.2158653305230218E-2</v>
      </c>
      <c r="F62" s="53">
        <f>(3.208*0.015*E62/SQRT(D62))^(3/8)</f>
        <v>0.28324723426993126</v>
      </c>
      <c r="G62" s="53">
        <v>0.45</v>
      </c>
      <c r="H62" s="53">
        <f t="shared" ref="H62:H68" si="1">4*E62/(PI()*G62^2)</f>
        <v>0.20220083503035682</v>
      </c>
      <c r="I62" s="53">
        <f t="shared" ref="I62:I68" si="2">C62/(H62*60)</f>
        <v>82.426299892206018</v>
      </c>
      <c r="J62" s="54">
        <f t="shared" ref="J62:J68" si="3">C62*D62</f>
        <v>2</v>
      </c>
    </row>
    <row r="63" spans="2:16" x14ac:dyDescent="0.3">
      <c r="B63" s="127" t="s">
        <v>88</v>
      </c>
      <c r="C63" s="53">
        <f>B22</f>
        <v>400</v>
      </c>
      <c r="D63" s="53">
        <f>C22</f>
        <v>3.5000000000000001E-3</v>
      </c>
      <c r="E63" s="53">
        <f>K41*P44/3.6</f>
        <v>2.5506596994596759E-2</v>
      </c>
      <c r="F63" s="53">
        <f t="shared" ref="F63:F68" si="4">(3.208*0.015*E63/SQRT(D63))^(3/8)</f>
        <v>0.23380513424121838</v>
      </c>
      <c r="G63" s="53">
        <v>0.45</v>
      </c>
      <c r="H63" s="53">
        <f t="shared" si="1"/>
        <v>0.16037534787725255</v>
      </c>
      <c r="I63" s="53">
        <f t="shared" si="2"/>
        <v>41.569148593642794</v>
      </c>
      <c r="J63" s="54">
        <f t="shared" si="3"/>
        <v>1.4000000000000001</v>
      </c>
    </row>
    <row r="64" spans="2:16" x14ac:dyDescent="0.3">
      <c r="B64" s="127" t="s">
        <v>103</v>
      </c>
      <c r="C64" s="53">
        <v>600</v>
      </c>
      <c r="D64" s="53">
        <f>C24</f>
        <v>4.0000000000000001E-3</v>
      </c>
      <c r="E64" s="53">
        <f>K45*P45/3.6</f>
        <v>3.0863775993883406E-2</v>
      </c>
      <c r="F64" s="53">
        <f t="shared" si="4"/>
        <v>0.24492282241544744</v>
      </c>
      <c r="G64" s="53">
        <v>0.45</v>
      </c>
      <c r="H64" s="53">
        <f t="shared" si="1"/>
        <v>0.19405916096424763</v>
      </c>
      <c r="I64" s="53">
        <f t="shared" si="2"/>
        <v>51.530677296097053</v>
      </c>
      <c r="J64" s="54">
        <f t="shared" si="3"/>
        <v>2.4</v>
      </c>
    </row>
    <row r="65" spans="2:10" x14ac:dyDescent="0.3">
      <c r="B65" s="127" t="s">
        <v>100</v>
      </c>
      <c r="C65" s="53">
        <v>500</v>
      </c>
      <c r="D65" s="53">
        <f>C23</f>
        <v>1E-3</v>
      </c>
      <c r="E65" s="53">
        <f>K48*P49/3.6</f>
        <v>3.6060723087117781E-2</v>
      </c>
      <c r="F65" s="53">
        <f t="shared" si="4"/>
        <v>0.33671310420406642</v>
      </c>
      <c r="G65" s="53">
        <v>0.45</v>
      </c>
      <c r="H65" s="53">
        <f t="shared" si="1"/>
        <v>0.2267354994877166</v>
      </c>
      <c r="I65" s="53">
        <f t="shared" si="2"/>
        <v>36.753544778658679</v>
      </c>
      <c r="J65" s="54">
        <f t="shared" si="3"/>
        <v>0.5</v>
      </c>
    </row>
    <row r="66" spans="2:10" x14ac:dyDescent="0.3">
      <c r="B66" s="127" t="s">
        <v>104</v>
      </c>
      <c r="C66" s="53">
        <f>B25</f>
        <v>600</v>
      </c>
      <c r="D66" s="53">
        <f>C25</f>
        <v>3.2000000000000002E-3</v>
      </c>
      <c r="E66" s="53">
        <f>K50*P52/3.6</f>
        <v>3.1441861715402128E-2</v>
      </c>
      <c r="F66" s="53">
        <f t="shared" si="4"/>
        <v>0.25717105178116773</v>
      </c>
      <c r="G66" s="53">
        <v>0.45</v>
      </c>
      <c r="H66" s="53">
        <f t="shared" si="1"/>
        <v>0.19769393430194837</v>
      </c>
      <c r="I66" s="53">
        <f t="shared" si="2"/>
        <v>50.583241389320889</v>
      </c>
      <c r="J66" s="54">
        <f t="shared" si="3"/>
        <v>1.9200000000000002</v>
      </c>
    </row>
    <row r="67" spans="2:10" x14ac:dyDescent="0.3">
      <c r="B67" s="127" t="s">
        <v>105</v>
      </c>
      <c r="C67" s="53">
        <f>B26</f>
        <v>700</v>
      </c>
      <c r="D67" s="53">
        <f>C26</f>
        <v>4.1999999999999997E-3</v>
      </c>
      <c r="E67" s="53">
        <f>K53*P55/3.6</f>
        <v>2.698347473999161E-2</v>
      </c>
      <c r="F67" s="53">
        <f t="shared" si="4"/>
        <v>0.23076745893548212</v>
      </c>
      <c r="G67" s="53">
        <v>0.45</v>
      </c>
      <c r="H67" s="53">
        <f t="shared" si="1"/>
        <v>0.16966136836207249</v>
      </c>
      <c r="I67" s="53">
        <f t="shared" si="2"/>
        <v>68.764426335221813</v>
      </c>
      <c r="J67" s="54">
        <f t="shared" si="3"/>
        <v>2.94</v>
      </c>
    </row>
    <row r="68" spans="2:10" x14ac:dyDescent="0.3">
      <c r="B68" s="128" t="s">
        <v>102</v>
      </c>
      <c r="C68" s="56">
        <v>500</v>
      </c>
      <c r="D68" s="56">
        <v>3.0000000000000001E-3</v>
      </c>
      <c r="E68" s="56">
        <f>K56*P58</f>
        <v>0.20762097414251166</v>
      </c>
      <c r="F68" s="56">
        <f t="shared" si="4"/>
        <v>0.52830969548376516</v>
      </c>
      <c r="G68" s="56">
        <v>0.55000000000000004</v>
      </c>
      <c r="H68" s="56">
        <f t="shared" si="1"/>
        <v>0.87388837882539661</v>
      </c>
      <c r="I68" s="56">
        <f t="shared" si="2"/>
        <v>9.5359241926689329</v>
      </c>
      <c r="J68" s="57">
        <f t="shared" si="3"/>
        <v>1.5</v>
      </c>
    </row>
    <row r="72" spans="2:10" ht="52.2" x14ac:dyDescent="0.3">
      <c r="B72" s="60" t="s">
        <v>78</v>
      </c>
      <c r="C72" s="61" t="s">
        <v>79</v>
      </c>
      <c r="D72" s="61" t="s">
        <v>146</v>
      </c>
      <c r="E72" s="61" t="s">
        <v>147</v>
      </c>
      <c r="F72" s="61" t="s">
        <v>148</v>
      </c>
      <c r="G72" s="62" t="s">
        <v>149</v>
      </c>
    </row>
    <row r="73" spans="2:10" ht="18" x14ac:dyDescent="0.3">
      <c r="B73" s="63">
        <v>11</v>
      </c>
      <c r="C73" s="64">
        <v>137.1</v>
      </c>
      <c r="D73" s="65">
        <f>Table2[[#This Row],[Reduced level of the Manhole (m)]]-1</f>
        <v>136.1</v>
      </c>
      <c r="E73" s="65">
        <f t="shared" ref="E73:E79" si="5">D73-G62</f>
        <v>135.65</v>
      </c>
      <c r="F73" s="65">
        <f t="shared" ref="F73:F79" si="6">D73-J62</f>
        <v>134.1</v>
      </c>
      <c r="G73" s="66">
        <f t="shared" ref="G73:G79" si="7">F73-G62</f>
        <v>133.65</v>
      </c>
    </row>
    <row r="74" spans="2:10" ht="18" x14ac:dyDescent="0.3">
      <c r="B74" s="63">
        <v>21</v>
      </c>
      <c r="C74" s="64">
        <v>136.5</v>
      </c>
      <c r="D74" s="65">
        <f>Table2[[#This Row],[Reduced level of the Manhole (m)]]-1</f>
        <v>135.5</v>
      </c>
      <c r="E74" s="65">
        <f t="shared" si="5"/>
        <v>135.05000000000001</v>
      </c>
      <c r="F74" s="65">
        <f t="shared" si="6"/>
        <v>134.1</v>
      </c>
      <c r="G74" s="66">
        <f t="shared" si="7"/>
        <v>133.65</v>
      </c>
    </row>
    <row r="75" spans="2:10" ht="18" x14ac:dyDescent="0.3">
      <c r="B75" s="63">
        <v>31</v>
      </c>
      <c r="C75" s="64">
        <v>133.19999999999999</v>
      </c>
      <c r="D75" s="65">
        <f>Table2[[#This Row],[Reduced level of the Manhole (m)]]-1</f>
        <v>132.19999999999999</v>
      </c>
      <c r="E75" s="65">
        <f t="shared" si="5"/>
        <v>131.75</v>
      </c>
      <c r="F75" s="65">
        <f t="shared" si="6"/>
        <v>129.79999999999998</v>
      </c>
      <c r="G75" s="66">
        <f t="shared" si="7"/>
        <v>129.35</v>
      </c>
    </row>
    <row r="76" spans="2:10" ht="18" x14ac:dyDescent="0.3">
      <c r="B76" s="63">
        <v>41</v>
      </c>
      <c r="C76" s="64">
        <v>129.5</v>
      </c>
      <c r="D76" s="65">
        <f>Table2[[#This Row],[Reduced level of the Manhole (m)]]-1</f>
        <v>128.5</v>
      </c>
      <c r="E76" s="65">
        <f t="shared" si="5"/>
        <v>128.05000000000001</v>
      </c>
      <c r="F76" s="65">
        <f t="shared" si="6"/>
        <v>128</v>
      </c>
      <c r="G76" s="66">
        <f t="shared" si="7"/>
        <v>127.55</v>
      </c>
    </row>
    <row r="77" spans="2:10" ht="18" x14ac:dyDescent="0.3">
      <c r="B77" s="63">
        <v>23</v>
      </c>
      <c r="C77" s="64">
        <v>131.6</v>
      </c>
      <c r="D77" s="65">
        <f>Table2[[#This Row],[Reduced level of the Manhole (m)]]-1</f>
        <v>130.6</v>
      </c>
      <c r="E77" s="65">
        <f t="shared" si="5"/>
        <v>130.15</v>
      </c>
      <c r="F77" s="65">
        <f t="shared" si="6"/>
        <v>128.68</v>
      </c>
      <c r="G77" s="66">
        <f t="shared" si="7"/>
        <v>128.23000000000002</v>
      </c>
    </row>
    <row r="78" spans="2:10" ht="18" x14ac:dyDescent="0.3">
      <c r="B78" s="63">
        <v>44</v>
      </c>
      <c r="C78" s="64">
        <v>132.19999999999999</v>
      </c>
      <c r="D78" s="65">
        <f>Table2[[#This Row],[Reduced level of the Manhole (m)]]-1</f>
        <v>131.19999999999999</v>
      </c>
      <c r="E78" s="65">
        <f t="shared" si="5"/>
        <v>130.75</v>
      </c>
      <c r="F78" s="65">
        <f t="shared" si="6"/>
        <v>128.26</v>
      </c>
      <c r="G78" s="66">
        <f t="shared" si="7"/>
        <v>127.80999999999999</v>
      </c>
    </row>
    <row r="79" spans="2:10" ht="18" x14ac:dyDescent="0.3">
      <c r="B79" s="67">
        <v>54</v>
      </c>
      <c r="C79" s="68">
        <v>132.6</v>
      </c>
      <c r="D79" s="69">
        <f>Table2[[#This Row],[Reduced level of the Manhole (m)]]-1</f>
        <v>131.6</v>
      </c>
      <c r="E79" s="69">
        <f t="shared" si="5"/>
        <v>131.04999999999998</v>
      </c>
      <c r="F79" s="69">
        <f t="shared" si="6"/>
        <v>130.1</v>
      </c>
      <c r="G79" s="70">
        <f t="shared" si="7"/>
        <v>129.54999999999998</v>
      </c>
    </row>
    <row r="82" spans="2:16" x14ac:dyDescent="0.3">
      <c r="L82" s="44"/>
    </row>
    <row r="83" spans="2:16" x14ac:dyDescent="0.3">
      <c r="B83" s="123" t="s">
        <v>126</v>
      </c>
      <c r="C83" s="121"/>
      <c r="D83" s="125" t="s">
        <v>130</v>
      </c>
      <c r="E83" s="122"/>
    </row>
    <row r="84" spans="2:16" x14ac:dyDescent="0.3">
      <c r="B84" s="124" t="s">
        <v>109</v>
      </c>
      <c r="C84" s="103">
        <v>1.4999999999999999E-2</v>
      </c>
      <c r="D84" s="126" t="s">
        <v>109</v>
      </c>
      <c r="E84" s="104">
        <v>1.4999999999999999E-2</v>
      </c>
    </row>
    <row r="85" spans="2:16" x14ac:dyDescent="0.3">
      <c r="B85" s="124" t="s">
        <v>127</v>
      </c>
      <c r="C85" s="103">
        <v>3.5000000000000003E-2</v>
      </c>
      <c r="D85" s="126" t="s">
        <v>127</v>
      </c>
      <c r="E85" s="104">
        <v>3.5000000000000003E-2</v>
      </c>
    </row>
    <row r="86" spans="2:16" x14ac:dyDescent="0.3">
      <c r="B86" s="124" t="s">
        <v>128</v>
      </c>
      <c r="C86" s="103">
        <v>1.5E-3</v>
      </c>
      <c r="D86" s="126" t="s">
        <v>128</v>
      </c>
      <c r="E86" s="104">
        <v>1.5E-3</v>
      </c>
    </row>
    <row r="87" spans="2:16" x14ac:dyDescent="0.3">
      <c r="B87" s="124" t="s">
        <v>129</v>
      </c>
      <c r="C87" s="103">
        <v>0.376</v>
      </c>
      <c r="D87" s="126" t="s">
        <v>131</v>
      </c>
      <c r="E87" s="104">
        <v>0.81699999999999995</v>
      </c>
    </row>
    <row r="90" spans="2:16" s="44" customFormat="1" ht="28.8" x14ac:dyDescent="0.3">
      <c r="B90" s="115" t="s">
        <v>54</v>
      </c>
      <c r="C90" s="116" t="s">
        <v>82</v>
      </c>
      <c r="D90" s="116" t="s">
        <v>159</v>
      </c>
      <c r="E90" s="116" t="s">
        <v>160</v>
      </c>
      <c r="F90" s="116" t="s">
        <v>156</v>
      </c>
      <c r="G90" s="116" t="s">
        <v>132</v>
      </c>
      <c r="H90" s="116" t="s">
        <v>161</v>
      </c>
      <c r="I90" s="116" t="s">
        <v>155</v>
      </c>
      <c r="J90" s="117" t="s">
        <v>133</v>
      </c>
      <c r="L90"/>
      <c r="M90" s="118" t="s">
        <v>54</v>
      </c>
      <c r="N90" s="59" t="s">
        <v>161</v>
      </c>
      <c r="O90" s="59" t="s">
        <v>155</v>
      </c>
      <c r="P90" s="59" t="s">
        <v>133</v>
      </c>
    </row>
    <row r="91" spans="2:16" x14ac:dyDescent="0.3">
      <c r="B91" s="52" t="s">
        <v>62</v>
      </c>
      <c r="C91" s="53">
        <f>J38</f>
        <v>5.1696000000000008E-3</v>
      </c>
      <c r="D91" s="53">
        <f>L38</f>
        <v>21.559709792642657</v>
      </c>
      <c r="E91" s="53">
        <f xml:space="preserve"> ($B$30*($B$29^$B$31))/((D91+$B$32)^$B$33)</f>
        <v>22.394605365759201</v>
      </c>
      <c r="F91" s="53">
        <f>E91*C91/3.6</f>
        <v>3.2158653305230218E-2</v>
      </c>
      <c r="G91" s="53">
        <v>1</v>
      </c>
      <c r="H91" s="53">
        <v>3</v>
      </c>
      <c r="I91" s="53">
        <f>((H91*($E$84*$E$85)^0.6)/($E$87*$E$86^0.3))^(1/0.42)</f>
        <v>4.7488565792642809E-2</v>
      </c>
      <c r="J91" s="71">
        <f>(F91*$C$84*($C$85^(-5/3))*(($C$86)^(-1/2))/$C$87)^(3/8)</f>
        <v>2.2647268898210329</v>
      </c>
      <c r="M91" s="86" t="s">
        <v>62</v>
      </c>
      <c r="N91" s="53">
        <v>3</v>
      </c>
      <c r="O91" s="53">
        <v>4.7488565792642809E-2</v>
      </c>
      <c r="P91" s="53">
        <v>2.2647268898210329</v>
      </c>
    </row>
    <row r="92" spans="2:16" x14ac:dyDescent="0.3">
      <c r="B92" s="52" t="s">
        <v>66</v>
      </c>
      <c r="C92" s="53">
        <f>J45</f>
        <v>4.8653999999999998E-3</v>
      </c>
      <c r="D92" s="53">
        <f>L45</f>
        <v>19.491095283541757</v>
      </c>
      <c r="E92" s="53">
        <f t="shared" ref="E92:E95" si="8" xml:space="preserve"> ($B$30*($B$29^$B$31))/((D92+$B$32)^$B$33)</f>
        <v>22.836682200431675</v>
      </c>
      <c r="F92" s="53">
        <f t="shared" ref="F92:F95" si="9">E92*C92/3.6</f>
        <v>3.0863775993883406E-2</v>
      </c>
      <c r="G92" s="53">
        <v>1</v>
      </c>
      <c r="H92" s="53">
        <v>3</v>
      </c>
      <c r="I92" s="53">
        <f>((H92*($E$84*$E$85)^0.6)/($E$87*$E$86^0.3))^(1/0.42)</f>
        <v>4.7488565792642809E-2</v>
      </c>
      <c r="J92" s="71">
        <f>(F92*$C$84*($C$85^(-5/3))*(($C$86)^(-1/2))/$C$87)^(3/8)</f>
        <v>2.2300907603565894</v>
      </c>
      <c r="M92" s="86" t="s">
        <v>66</v>
      </c>
      <c r="N92" s="53">
        <v>3</v>
      </c>
      <c r="O92" s="53">
        <v>4.7488565792642809E-2</v>
      </c>
      <c r="P92" s="53">
        <v>2.2300907603565894</v>
      </c>
    </row>
    <row r="93" spans="2:16" x14ac:dyDescent="0.3">
      <c r="B93" s="52" t="s">
        <v>67</v>
      </c>
      <c r="C93" s="53">
        <f>J41</f>
        <v>1.8799999999999999E-3</v>
      </c>
      <c r="D93" s="53">
        <f>L41</f>
        <v>10.429545453961245</v>
      </c>
      <c r="E93" s="53">
        <f t="shared" si="8"/>
        <v>25.028022345927788</v>
      </c>
      <c r="F93" s="53">
        <f t="shared" si="9"/>
        <v>1.3070189447317844E-2</v>
      </c>
      <c r="G93" s="53">
        <v>1</v>
      </c>
      <c r="H93" s="53">
        <v>2</v>
      </c>
      <c r="I93" s="53">
        <f>((H93*($E$84*$E$85)^0.6)/($E$87*$E$86^0.3))^(1/0.42)</f>
        <v>1.808523478028231E-2</v>
      </c>
      <c r="J93" s="71">
        <f>(F93*$C$84*($C$85^(-5/3))*(($C$86)^(-1/2))/$C$87)^(3/8)</f>
        <v>1.6157897450579659</v>
      </c>
      <c r="M93" s="86" t="s">
        <v>67</v>
      </c>
      <c r="N93" s="53">
        <v>2</v>
      </c>
      <c r="O93" s="53">
        <v>1.808523478028231E-2</v>
      </c>
      <c r="P93" s="53">
        <v>1.6157897450579659</v>
      </c>
    </row>
    <row r="94" spans="2:16" x14ac:dyDescent="0.3">
      <c r="B94" s="52" t="s">
        <v>68</v>
      </c>
      <c r="C94" s="53">
        <f>J50</f>
        <v>4.7887999999999993E-3</v>
      </c>
      <c r="D94" s="53">
        <f>L50</f>
        <v>15.966529120921493</v>
      </c>
      <c r="E94" s="53">
        <f t="shared" si="8"/>
        <v>23.636548232427263</v>
      </c>
      <c r="F94" s="53">
        <f t="shared" si="9"/>
        <v>3.1441861715402128E-2</v>
      </c>
      <c r="G94" s="53">
        <v>1</v>
      </c>
      <c r="H94" s="53">
        <v>3</v>
      </c>
      <c r="I94" s="53">
        <f>((H94*($E$84*$E$85)^0.6)/($E$87*$E$86^0.3))^(1/0.42)</f>
        <v>4.7488565792642809E-2</v>
      </c>
      <c r="J94" s="71">
        <f>(F94*$C$84*($C$85^(-5/3))*(($C$86)^(-1/2))/$C$87)^(3/8)</f>
        <v>2.2456637909533543</v>
      </c>
      <c r="M94" s="86" t="s">
        <v>68</v>
      </c>
      <c r="N94" s="53">
        <v>3</v>
      </c>
      <c r="O94" s="53">
        <v>4.7488565792642809E-2</v>
      </c>
      <c r="P94" s="53">
        <v>2.2456637909533543</v>
      </c>
    </row>
    <row r="95" spans="2:16" x14ac:dyDescent="0.3">
      <c r="B95" s="55" t="s">
        <v>69</v>
      </c>
      <c r="C95" s="56">
        <f>J53</f>
        <v>5.013000000000001E-3</v>
      </c>
      <c r="D95" s="56">
        <f>L53</f>
        <v>38.516890251825103</v>
      </c>
      <c r="E95" s="56">
        <f t="shared" si="8"/>
        <v>19.377719741466144</v>
      </c>
      <c r="F95" s="56">
        <f t="shared" si="9"/>
        <v>2.698347473999161E-2</v>
      </c>
      <c r="G95" s="56">
        <v>1</v>
      </c>
      <c r="H95" s="56">
        <v>3</v>
      </c>
      <c r="I95" s="56">
        <f>((H95*($E$84*$E$85)^0.6)/($E$87*$E$86^0.3))^(1/0.42)</f>
        <v>4.7488565792642809E-2</v>
      </c>
      <c r="J95" s="58">
        <f>(F95*$C$84*($C$85^(-5/3))*(($C$86)^(-1/2))/$C$87)^(3/8)</f>
        <v>2.1205125365353825</v>
      </c>
      <c r="M95" s="86" t="s">
        <v>69</v>
      </c>
      <c r="N95" s="53">
        <v>3</v>
      </c>
      <c r="O95" s="53">
        <v>4.7488565792642809E-2</v>
      </c>
      <c r="P95" s="53">
        <v>2.1205125365353825</v>
      </c>
    </row>
    <row r="100" spans="1:10" ht="36.6" x14ac:dyDescent="0.7">
      <c r="A100" s="46" t="s">
        <v>142</v>
      </c>
    </row>
    <row r="102" spans="1:10" ht="15" thickBot="1" x14ac:dyDescent="0.35"/>
    <row r="103" spans="1:10" s="44" customFormat="1" ht="29.4" thickBot="1" x14ac:dyDescent="0.35">
      <c r="B103" s="120" t="s">
        <v>54</v>
      </c>
      <c r="C103" s="120" t="s">
        <v>82</v>
      </c>
      <c r="D103" s="120" t="s">
        <v>158</v>
      </c>
      <c r="E103" s="120" t="s">
        <v>157</v>
      </c>
      <c r="F103" s="120" t="str">
        <f t="shared" ref="F103:G108" si="10">I90</f>
        <v>Design discharge of curb opening (m^3/s)</v>
      </c>
      <c r="G103" s="120" t="str">
        <f t="shared" si="10"/>
        <v>Design spread of gutter (m)</v>
      </c>
      <c r="J103"/>
    </row>
    <row r="104" spans="1:10" ht="15" thickBot="1" x14ac:dyDescent="0.35">
      <c r="B104" s="48" t="s">
        <v>62</v>
      </c>
      <c r="C104" s="48">
        <f>C91</f>
        <v>5.1696000000000008E-3</v>
      </c>
      <c r="D104" s="48">
        <f>'Part D'!$D$9</f>
        <v>28.186750791756587</v>
      </c>
      <c r="E104" s="48">
        <f>D104*C104/3.6</f>
        <v>4.0476174136962466E-2</v>
      </c>
      <c r="F104" s="48">
        <f t="shared" si="10"/>
        <v>4.7488565792642809E-2</v>
      </c>
      <c r="G104" s="47">
        <f t="shared" si="10"/>
        <v>2.2647268898210329</v>
      </c>
    </row>
    <row r="105" spans="1:10" ht="15" thickBot="1" x14ac:dyDescent="0.35">
      <c r="B105" s="48" t="s">
        <v>66</v>
      </c>
      <c r="C105" s="48">
        <f>C92</f>
        <v>4.8653999999999998E-3</v>
      </c>
      <c r="D105" s="48">
        <f>'Part D'!$D$9</f>
        <v>28.186750791756587</v>
      </c>
      <c r="E105" s="48">
        <f t="shared" ref="E105:E108" si="11">D105*C105/3.6</f>
        <v>3.8094393695059028E-2</v>
      </c>
      <c r="F105" s="48">
        <f t="shared" si="10"/>
        <v>4.7488565792642809E-2</v>
      </c>
      <c r="G105" s="47">
        <f t="shared" si="10"/>
        <v>2.2300907603565894</v>
      </c>
    </row>
    <row r="106" spans="1:10" ht="15" thickBot="1" x14ac:dyDescent="0.35">
      <c r="B106" s="39" t="s">
        <v>67</v>
      </c>
      <c r="C106" s="48">
        <f>C93</f>
        <v>1.8799999999999999E-3</v>
      </c>
      <c r="D106" s="48">
        <f>'Part D'!$D$9</f>
        <v>28.186750791756587</v>
      </c>
      <c r="E106" s="48">
        <f t="shared" si="11"/>
        <v>1.4719747635695106E-2</v>
      </c>
      <c r="F106" s="48">
        <f t="shared" si="10"/>
        <v>1.808523478028231E-2</v>
      </c>
      <c r="G106" s="47">
        <f t="shared" si="10"/>
        <v>1.6157897450579659</v>
      </c>
    </row>
    <row r="107" spans="1:10" ht="15" thickBot="1" x14ac:dyDescent="0.35">
      <c r="B107" s="48" t="s">
        <v>68</v>
      </c>
      <c r="C107" s="48">
        <f>C94</f>
        <v>4.7887999999999993E-3</v>
      </c>
      <c r="D107" s="48">
        <f>'Part D'!$D$9</f>
        <v>28.186750791756587</v>
      </c>
      <c r="E107" s="48">
        <f t="shared" si="11"/>
        <v>3.7494642275434427E-2</v>
      </c>
      <c r="F107" s="48">
        <f t="shared" si="10"/>
        <v>4.7488565792642809E-2</v>
      </c>
      <c r="G107" s="47">
        <f t="shared" si="10"/>
        <v>2.2456637909533543</v>
      </c>
    </row>
    <row r="108" spans="1:10" ht="15" thickBot="1" x14ac:dyDescent="0.35">
      <c r="B108" s="48" t="s">
        <v>69</v>
      </c>
      <c r="C108" s="42">
        <f>C95</f>
        <v>5.013000000000001E-3</v>
      </c>
      <c r="D108" s="48">
        <f>'Part D'!$D$9</f>
        <v>28.186750791756587</v>
      </c>
      <c r="E108" s="48">
        <f t="shared" si="11"/>
        <v>3.9250050477521052E-2</v>
      </c>
      <c r="F108" s="48">
        <f t="shared" si="10"/>
        <v>4.7488565792642809E-2</v>
      </c>
      <c r="G108" s="47">
        <f t="shared" si="10"/>
        <v>2.1205125365353825</v>
      </c>
    </row>
    <row r="111" spans="1:10" ht="14.4" customHeight="1" x14ac:dyDescent="0.3">
      <c r="B111" s="172" t="s">
        <v>143</v>
      </c>
      <c r="C111" s="172"/>
      <c r="D111" s="172"/>
      <c r="E111" s="172"/>
      <c r="F111" s="172"/>
      <c r="G111" s="172"/>
    </row>
  </sheetData>
  <mergeCells count="35">
    <mergeCell ref="D29:F29"/>
    <mergeCell ref="B111:G111"/>
    <mergeCell ref="A16:A18"/>
    <mergeCell ref="B16:B18"/>
    <mergeCell ref="E16:E18"/>
    <mergeCell ref="F16:F18"/>
    <mergeCell ref="G16:G18"/>
    <mergeCell ref="G29:I29"/>
    <mergeCell ref="A13:A15"/>
    <mergeCell ref="B13:B15"/>
    <mergeCell ref="E13:E15"/>
    <mergeCell ref="F13:F15"/>
    <mergeCell ref="G13:G15"/>
    <mergeCell ref="G10:G12"/>
    <mergeCell ref="A7:A9"/>
    <mergeCell ref="B7:B9"/>
    <mergeCell ref="E7:E9"/>
    <mergeCell ref="F7:F9"/>
    <mergeCell ref="G7:G9"/>
    <mergeCell ref="J29:L29"/>
    <mergeCell ref="M29:O29"/>
    <mergeCell ref="P29:R29"/>
    <mergeCell ref="A2:A3"/>
    <mergeCell ref="C2:D3"/>
    <mergeCell ref="F2:F3"/>
    <mergeCell ref="G2:G3"/>
    <mergeCell ref="A4:A6"/>
    <mergeCell ref="B4:B6"/>
    <mergeCell ref="E4:E6"/>
    <mergeCell ref="F4:F6"/>
    <mergeCell ref="G4:G6"/>
    <mergeCell ref="A10:A12"/>
    <mergeCell ref="B10:B12"/>
    <mergeCell ref="E10:E12"/>
    <mergeCell ref="F10:F12"/>
  </mergeCells>
  <conditionalFormatting sqref="B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A073-9A36-4F24-81F1-4BE14FF77F2D}">
  <dimension ref="B3:L8"/>
  <sheetViews>
    <sheetView workbookViewId="0">
      <selection activeCell="D7" sqref="D7"/>
    </sheetView>
  </sheetViews>
  <sheetFormatPr defaultRowHeight="14.4" x14ac:dyDescent="0.3"/>
  <cols>
    <col min="2" max="2" width="12.77734375" customWidth="1"/>
    <col min="4" max="4" width="12" bestFit="1" customWidth="1"/>
    <col min="6" max="6" width="11.6640625" customWidth="1"/>
    <col min="12" max="12" width="11.21875" customWidth="1"/>
  </cols>
  <sheetData>
    <row r="3" spans="2:12" ht="28.8" x14ac:dyDescent="0.3">
      <c r="B3" s="59" t="s">
        <v>164</v>
      </c>
      <c r="C3" s="53">
        <f>Dataset!I54</f>
        <v>45.37954889673636</v>
      </c>
    </row>
    <row r="4" spans="2:12" ht="28.8" x14ac:dyDescent="0.3">
      <c r="B4" s="59" t="s">
        <v>165</v>
      </c>
      <c r="C4" s="53">
        <f>Dataset!I55</f>
        <v>4.9546181392976392</v>
      </c>
    </row>
    <row r="5" spans="2:12" x14ac:dyDescent="0.3">
      <c r="B5" s="59" t="s">
        <v>134</v>
      </c>
      <c r="C5" s="53">
        <v>500</v>
      </c>
    </row>
    <row r="6" spans="2:12" ht="28.8" x14ac:dyDescent="0.3">
      <c r="B6" s="59" t="s">
        <v>135</v>
      </c>
      <c r="C6" s="53">
        <f>1-(1/C5)</f>
        <v>0.998</v>
      </c>
      <c r="E6" s="56" t="s">
        <v>144</v>
      </c>
      <c r="F6" s="110" t="s">
        <v>137</v>
      </c>
    </row>
    <row r="7" spans="2:12" x14ac:dyDescent="0.3">
      <c r="B7" s="59" t="s">
        <v>136</v>
      </c>
      <c r="C7" s="53">
        <f>F7</f>
        <v>6.1792150782109756</v>
      </c>
      <c r="E7" s="92">
        <f>EXP(-1*(1+(0.13*(F7-0.44)/0.6))^-7.69)</f>
        <v>0.99800037306915856</v>
      </c>
      <c r="F7" s="15">
        <v>6.1792150782109756</v>
      </c>
    </row>
    <row r="8" spans="2:12" ht="43.2" x14ac:dyDescent="0.3">
      <c r="B8" s="59" t="s">
        <v>138</v>
      </c>
      <c r="C8" s="53">
        <f>C3+C7*C4</f>
        <v>75.995200009861946</v>
      </c>
      <c r="L8" s="1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7B98-1C9B-4A7B-BF85-E3D775C5CE90}">
  <dimension ref="B3:H23"/>
  <sheetViews>
    <sheetView tabSelected="1" topLeftCell="A16" workbookViewId="0">
      <selection activeCell="B8" sqref="B8"/>
    </sheetView>
  </sheetViews>
  <sheetFormatPr defaultRowHeight="14.4" x14ac:dyDescent="0.3"/>
  <cols>
    <col min="2" max="2" width="16.33203125" customWidth="1"/>
    <col min="4" max="4" width="14.5546875" customWidth="1"/>
    <col min="5" max="5" width="12.109375" customWidth="1"/>
    <col min="6" max="6" width="11.21875" customWidth="1"/>
    <col min="8" max="8" width="11.33203125" customWidth="1"/>
  </cols>
  <sheetData>
    <row r="3" spans="2:8" x14ac:dyDescent="0.3">
      <c r="B3" s="111" t="s">
        <v>139</v>
      </c>
      <c r="C3" s="45">
        <v>20</v>
      </c>
      <c r="F3" s="72" t="s">
        <v>107</v>
      </c>
      <c r="G3" s="72">
        <f>'IDF Curve'!C58</f>
        <v>768.14920124770845</v>
      </c>
    </row>
    <row r="4" spans="2:8" x14ac:dyDescent="0.3">
      <c r="F4" s="72" t="s">
        <v>11</v>
      </c>
      <c r="G4" s="72">
        <f>'IDF Curve'!C59</f>
        <v>6.6674904646060684E-2</v>
      </c>
    </row>
    <row r="5" spans="2:8" x14ac:dyDescent="0.3">
      <c r="F5" s="72" t="s">
        <v>108</v>
      </c>
      <c r="G5" s="72">
        <f>'IDF Curve'!C60</f>
        <v>65.725906658709164</v>
      </c>
    </row>
    <row r="6" spans="2:8" x14ac:dyDescent="0.3">
      <c r="F6" s="72" t="s">
        <v>109</v>
      </c>
      <c r="G6" s="72">
        <f>'IDF Curve'!C61</f>
        <v>0.81501939309932225</v>
      </c>
    </row>
    <row r="8" spans="2:8" s="44" customFormat="1" ht="43.2" x14ac:dyDescent="0.3">
      <c r="C8" s="173" t="s">
        <v>150</v>
      </c>
      <c r="D8" s="173" t="s">
        <v>140</v>
      </c>
      <c r="E8" s="173" t="s">
        <v>141</v>
      </c>
      <c r="F8" s="173" t="s">
        <v>151</v>
      </c>
      <c r="G8" s="173" t="s">
        <v>152</v>
      </c>
      <c r="H8" s="173" t="s">
        <v>153</v>
      </c>
    </row>
    <row r="9" spans="2:8" x14ac:dyDescent="0.3">
      <c r="C9" s="53">
        <v>8</v>
      </c>
      <c r="D9" s="53">
        <f>($G$3*($C$3^$G$4))/(C9+$G$5)^$G$6</f>
        <v>28.186750791756587</v>
      </c>
      <c r="E9" s="53">
        <f>D9*C9/60</f>
        <v>3.7582334389008785</v>
      </c>
      <c r="F9" s="53">
        <f>E9</f>
        <v>3.7582334389008785</v>
      </c>
      <c r="G9" s="53">
        <v>0.86458996661358256</v>
      </c>
      <c r="H9" s="53">
        <f>G9</f>
        <v>0.86458996661358256</v>
      </c>
    </row>
    <row r="10" spans="2:8" x14ac:dyDescent="0.3">
      <c r="C10" s="53">
        <v>16</v>
      </c>
      <c r="D10" s="53">
        <f t="shared" ref="D10:D23" si="0">($G$3*($C$3^$G$4))/(C10+$G$5)^$G$6</f>
        <v>25.916798584532067</v>
      </c>
      <c r="E10" s="53">
        <f t="shared" ref="E10:E23" si="1">D10*C10/60</f>
        <v>6.9111462892085509</v>
      </c>
      <c r="F10" s="53">
        <f>E10-E9</f>
        <v>3.1529128503076724</v>
      </c>
      <c r="G10" s="53">
        <v>0.92230957658999202</v>
      </c>
      <c r="H10" s="53">
        <f>G11</f>
        <v>0.9873911345640245</v>
      </c>
    </row>
    <row r="11" spans="2:8" x14ac:dyDescent="0.3">
      <c r="C11" s="53">
        <v>24</v>
      </c>
      <c r="D11" s="53">
        <f t="shared" si="0"/>
        <v>24.01738438993516</v>
      </c>
      <c r="E11" s="53">
        <f t="shared" si="1"/>
        <v>9.6069537559740645</v>
      </c>
      <c r="F11" s="53">
        <f t="shared" ref="F11:F23" si="2">E11-E10</f>
        <v>2.6958074667655136</v>
      </c>
      <c r="G11" s="53">
        <v>0.9873911345640245</v>
      </c>
      <c r="H11" s="53">
        <f>G13</f>
        <v>1.1455762769735571</v>
      </c>
    </row>
    <row r="12" spans="2:8" x14ac:dyDescent="0.3">
      <c r="C12" s="53">
        <v>32</v>
      </c>
      <c r="D12" s="53">
        <f t="shared" si="0"/>
        <v>22.402430025014731</v>
      </c>
      <c r="E12" s="53">
        <f t="shared" si="1"/>
        <v>11.947962680007857</v>
      </c>
      <c r="F12" s="53">
        <f t="shared" si="2"/>
        <v>2.3410089240337921</v>
      </c>
      <c r="G12" s="53">
        <v>1.061229286701721</v>
      </c>
      <c r="H12" s="53">
        <f>G15</f>
        <v>1.3553512794234308</v>
      </c>
    </row>
    <row r="13" spans="2:8" x14ac:dyDescent="0.3">
      <c r="C13" s="53">
        <v>40</v>
      </c>
      <c r="D13" s="53">
        <f t="shared" si="0"/>
        <v>21.01089358881962</v>
      </c>
      <c r="E13" s="53">
        <f t="shared" si="1"/>
        <v>14.007262392546412</v>
      </c>
      <c r="F13" s="53">
        <f t="shared" si="2"/>
        <v>2.0592997125385555</v>
      </c>
      <c r="G13" s="53">
        <v>1.1455762769735571</v>
      </c>
      <c r="H13" s="53">
        <f>G17</f>
        <v>1.6438068457809134</v>
      </c>
    </row>
    <row r="14" spans="2:8" x14ac:dyDescent="0.3">
      <c r="C14" s="53">
        <v>48</v>
      </c>
      <c r="D14" s="53">
        <f t="shared" si="0"/>
        <v>19.798229183201581</v>
      </c>
      <c r="E14" s="53">
        <f t="shared" si="1"/>
        <v>15.838583346561263</v>
      </c>
      <c r="F14" s="53">
        <f t="shared" si="2"/>
        <v>1.831320954014851</v>
      </c>
      <c r="G14" s="53">
        <v>1.2426600749780938</v>
      </c>
      <c r="H14" s="53">
        <f>G19</f>
        <v>2.0592997125385555</v>
      </c>
    </row>
    <row r="15" spans="2:8" x14ac:dyDescent="0.3">
      <c r="C15" s="53">
        <v>56</v>
      </c>
      <c r="D15" s="53">
        <f t="shared" si="0"/>
        <v>18.731132348938047</v>
      </c>
      <c r="E15" s="53">
        <f t="shared" si="1"/>
        <v>17.482390192342177</v>
      </c>
      <c r="F15" s="53">
        <f t="shared" si="2"/>
        <v>1.6438068457809134</v>
      </c>
      <c r="G15" s="53">
        <v>1.3553512794234308</v>
      </c>
      <c r="H15" s="53">
        <f>G21</f>
        <v>2.6958074667655136</v>
      </c>
    </row>
    <row r="16" spans="2:8" x14ac:dyDescent="0.3">
      <c r="C16" s="53">
        <v>64</v>
      </c>
      <c r="D16" s="53">
        <f t="shared" si="0"/>
        <v>17.784181565754974</v>
      </c>
      <c r="E16" s="53">
        <f t="shared" si="1"/>
        <v>18.969793670138639</v>
      </c>
      <c r="F16" s="53">
        <f t="shared" si="2"/>
        <v>1.4874034777964624</v>
      </c>
      <c r="G16" s="53">
        <v>1.4874034777964624</v>
      </c>
      <c r="H16" s="53">
        <f>G23</f>
        <v>3.7582334389008785</v>
      </c>
    </row>
    <row r="17" spans="3:8" x14ac:dyDescent="0.3">
      <c r="C17" s="53">
        <v>72</v>
      </c>
      <c r="D17" s="53">
        <f t="shared" si="0"/>
        <v>16.937620791301725</v>
      </c>
      <c r="E17" s="53">
        <f t="shared" si="1"/>
        <v>20.32514494956207</v>
      </c>
      <c r="F17" s="53">
        <f t="shared" si="2"/>
        <v>1.3553512794234308</v>
      </c>
      <c r="G17" s="53">
        <v>1.6438068457809134</v>
      </c>
      <c r="H17" s="53">
        <f>G22</f>
        <v>3.1529128503076724</v>
      </c>
    </row>
    <row r="18" spans="3:8" x14ac:dyDescent="0.3">
      <c r="C18" s="53">
        <v>80</v>
      </c>
      <c r="D18" s="53">
        <f t="shared" si="0"/>
        <v>16.175853768405123</v>
      </c>
      <c r="E18" s="53">
        <f t="shared" si="1"/>
        <v>21.567805024540164</v>
      </c>
      <c r="F18" s="53">
        <f t="shared" si="2"/>
        <v>1.2426600749780938</v>
      </c>
      <c r="G18" s="53">
        <v>1.831320954014851</v>
      </c>
      <c r="H18" s="53">
        <f>G20</f>
        <v>2.3410089240337921</v>
      </c>
    </row>
    <row r="19" spans="3:8" x14ac:dyDescent="0.3">
      <c r="C19" s="53">
        <v>88</v>
      </c>
      <c r="D19" s="53">
        <f t="shared" si="0"/>
        <v>15.486396341941173</v>
      </c>
      <c r="E19" s="53">
        <f t="shared" si="1"/>
        <v>22.713381301513721</v>
      </c>
      <c r="F19" s="53">
        <f t="shared" si="2"/>
        <v>1.1455762769735571</v>
      </c>
      <c r="G19" s="53">
        <v>2.0592997125385555</v>
      </c>
      <c r="H19" s="53">
        <f>G18</f>
        <v>1.831320954014851</v>
      </c>
    </row>
    <row r="20" spans="3:8" x14ac:dyDescent="0.3">
      <c r="C20" s="53">
        <v>96</v>
      </c>
      <c r="D20" s="53">
        <f t="shared" si="0"/>
        <v>14.859131617634649</v>
      </c>
      <c r="E20" s="53">
        <f t="shared" si="1"/>
        <v>23.774610588215442</v>
      </c>
      <c r="F20" s="53">
        <f t="shared" si="2"/>
        <v>1.061229286701721</v>
      </c>
      <c r="G20" s="53">
        <v>2.3410089240337921</v>
      </c>
      <c r="H20" s="53">
        <f>G16</f>
        <v>1.4874034777964624</v>
      </c>
    </row>
    <row r="21" spans="3:8" x14ac:dyDescent="0.3">
      <c r="C21" s="53">
        <v>104</v>
      </c>
      <c r="D21" s="53">
        <f t="shared" si="0"/>
        <v>14.285770224680462</v>
      </c>
      <c r="E21" s="53">
        <f t="shared" si="1"/>
        <v>24.762001722779466</v>
      </c>
      <c r="F21" s="53">
        <f t="shared" si="2"/>
        <v>0.9873911345640245</v>
      </c>
      <c r="G21" s="53">
        <v>2.6958074667655136</v>
      </c>
      <c r="H21" s="53">
        <f>G14</f>
        <v>1.2426600749780938</v>
      </c>
    </row>
    <row r="22" spans="3:8" x14ac:dyDescent="0.3">
      <c r="C22" s="53">
        <v>112</v>
      </c>
      <c r="D22" s="53">
        <f t="shared" si="0"/>
        <v>13.759452481805067</v>
      </c>
      <c r="E22" s="53">
        <f t="shared" si="1"/>
        <v>25.684311299369458</v>
      </c>
      <c r="F22" s="53">
        <f t="shared" si="2"/>
        <v>0.92230957658999202</v>
      </c>
      <c r="G22" s="53">
        <v>3.1529128503076724</v>
      </c>
      <c r="H22" s="53">
        <f>G12</f>
        <v>1.061229286701721</v>
      </c>
    </row>
    <row r="23" spans="3:8" x14ac:dyDescent="0.3">
      <c r="C23" s="53">
        <v>120</v>
      </c>
      <c r="D23" s="53">
        <f t="shared" si="0"/>
        <v>13.27445063299152</v>
      </c>
      <c r="E23" s="53">
        <f t="shared" si="1"/>
        <v>26.548901265983041</v>
      </c>
      <c r="F23" s="53">
        <f t="shared" si="2"/>
        <v>0.86458996661358256</v>
      </c>
      <c r="G23" s="53">
        <v>3.7582334389008785</v>
      </c>
      <c r="H23" s="53">
        <f>G10</f>
        <v>0.92230957658999202</v>
      </c>
    </row>
  </sheetData>
  <sortState xmlns:xlrd2="http://schemas.microsoft.com/office/spreadsheetml/2017/richdata2" ref="G9:G23">
    <sortCondition ref="G9:G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KS</vt:lpstr>
      <vt:lpstr>IDF Curve</vt:lpstr>
      <vt:lpstr>Part B &amp; E</vt:lpstr>
      <vt:lpstr>Part C</vt:lpstr>
      <vt:lpstr>Part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Yashkrit Gupta</dc:creator>
  <cp:lastModifiedBy>Yashkrit Gupta</cp:lastModifiedBy>
  <dcterms:created xsi:type="dcterms:W3CDTF">2021-03-04T14:47:11Z</dcterms:created>
  <dcterms:modified xsi:type="dcterms:W3CDTF">2021-03-12T10:19:40Z</dcterms:modified>
</cp:coreProperties>
</file>