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FC Valuation\"/>
    </mc:Choice>
  </mc:AlternateContent>
  <xr:revisionPtr revIDLastSave="0" documentId="13_ncr:1_{69E22677-41AA-4CD5-A19A-0FB9B9639BE6}" xr6:coauthVersionLast="47" xr6:coauthVersionMax="47" xr10:uidLastSave="{00000000-0000-0000-0000-000000000000}"/>
  <bookViews>
    <workbookView xWindow="-110" yWindow="-110" windowWidth="19420" windowHeight="11020" tabRatio="693" firstSheet="1" activeTab="5" xr2:uid="{7EE50CA2-B225-4851-A033-610441F84807}"/>
  </bookViews>
  <sheets>
    <sheet name="Income Statement" sheetId="2" r:id="rId1"/>
    <sheet name="Working Capital Schedule" sheetId="7" r:id="rId2"/>
    <sheet name="Debt Schedule" sheetId="5" r:id="rId3"/>
    <sheet name="Fixed asset Schedule" sheetId="6" r:id="rId4"/>
    <sheet name="Discount rates" sheetId="3" r:id="rId5"/>
    <sheet name="DCF value" sheetId="4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4" l="1"/>
  <c r="G21" i="4"/>
  <c r="G27" i="3"/>
  <c r="G26" i="4" s="1"/>
  <c r="D22" i="3"/>
  <c r="G23" i="3" s="1"/>
  <c r="G14" i="3" s="1"/>
  <c r="D21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G13" i="3" s="1"/>
  <c r="C40" i="3"/>
  <c r="G15" i="3"/>
  <c r="G12" i="3"/>
  <c r="G8" i="3"/>
  <c r="G5" i="3"/>
  <c r="G4" i="3"/>
  <c r="G7" i="3" s="1"/>
  <c r="G9" i="3" s="1"/>
  <c r="K21" i="7"/>
  <c r="E23" i="7"/>
  <c r="G22" i="7"/>
  <c r="F22" i="7"/>
  <c r="J22" i="7" s="1"/>
  <c r="E22" i="7"/>
  <c r="D22" i="7"/>
  <c r="E21" i="7"/>
  <c r="G20" i="7"/>
  <c r="F20" i="7"/>
  <c r="I20" i="7" s="1"/>
  <c r="E20" i="7"/>
  <c r="D20" i="7"/>
  <c r="H20" i="7" s="1"/>
  <c r="E19" i="7"/>
  <c r="G18" i="7"/>
  <c r="H18" i="7" s="1"/>
  <c r="I18" i="7" s="1"/>
  <c r="J18" i="7" s="1"/>
  <c r="K18" i="7" s="1"/>
  <c r="L18" i="7" s="1"/>
  <c r="F18" i="7"/>
  <c r="E18" i="7"/>
  <c r="D18" i="7"/>
  <c r="G13" i="7"/>
  <c r="F13" i="7"/>
  <c r="E13" i="7"/>
  <c r="D13" i="7"/>
  <c r="G7" i="7"/>
  <c r="G15" i="7" s="1"/>
  <c r="F7" i="7"/>
  <c r="F15" i="7" s="1"/>
  <c r="E7" i="7"/>
  <c r="E15" i="7" s="1"/>
  <c r="E16" i="7" s="1"/>
  <c r="D7" i="7"/>
  <c r="D15" i="7" s="1"/>
  <c r="G9" i="5"/>
  <c r="H9" i="5" s="1"/>
  <c r="H16" i="6"/>
  <c r="H18" i="6" s="1"/>
  <c r="G16" i="6"/>
  <c r="F16" i="6"/>
  <c r="E16" i="6"/>
  <c r="D16" i="6"/>
  <c r="G19" i="6"/>
  <c r="G18" i="6" s="1"/>
  <c r="F19" i="6"/>
  <c r="E19" i="6"/>
  <c r="D19" i="6"/>
  <c r="G8" i="6"/>
  <c r="D8" i="6"/>
  <c r="G5" i="6"/>
  <c r="F5" i="6"/>
  <c r="E5" i="6"/>
  <c r="D5" i="6"/>
  <c r="G21" i="2"/>
  <c r="F21" i="2"/>
  <c r="E21" i="2"/>
  <c r="D21" i="2"/>
  <c r="G14" i="2"/>
  <c r="F14" i="2"/>
  <c r="F8" i="6" s="1"/>
  <c r="E14" i="2"/>
  <c r="E8" i="6" s="1"/>
  <c r="D14" i="2"/>
  <c r="K17" i="2"/>
  <c r="G17" i="2"/>
  <c r="F17" i="2"/>
  <c r="E17" i="2"/>
  <c r="D17" i="2"/>
  <c r="L17" i="2" s="1"/>
  <c r="G8" i="2"/>
  <c r="F8" i="2"/>
  <c r="E8" i="2"/>
  <c r="D8" i="2"/>
  <c r="L8" i="2" s="1"/>
  <c r="G4" i="2"/>
  <c r="M4" i="2" s="1"/>
  <c r="H4" i="2" s="1"/>
  <c r="F4" i="2"/>
  <c r="E4" i="2"/>
  <c r="G10" i="2"/>
  <c r="G23" i="7" s="1"/>
  <c r="F10" i="2"/>
  <c r="F23" i="7" s="1"/>
  <c r="E10" i="2"/>
  <c r="D10" i="2"/>
  <c r="D23" i="7" s="1"/>
  <c r="E2" i="7"/>
  <c r="F2" i="7" s="1"/>
  <c r="G2" i="7" s="1"/>
  <c r="H2" i="7" s="1"/>
  <c r="I2" i="7" s="1"/>
  <c r="J2" i="7" s="1"/>
  <c r="K2" i="7" s="1"/>
  <c r="L2" i="7" s="1"/>
  <c r="G9" i="6"/>
  <c r="H5" i="6" s="1"/>
  <c r="E2" i="6"/>
  <c r="F2" i="6" s="1"/>
  <c r="G2" i="6" s="1"/>
  <c r="H2" i="6" s="1"/>
  <c r="I2" i="6" s="1"/>
  <c r="J2" i="6" s="1"/>
  <c r="K2" i="6" s="1"/>
  <c r="L2" i="6" s="1"/>
  <c r="E2" i="5"/>
  <c r="F2" i="5" s="1"/>
  <c r="G2" i="5" s="1"/>
  <c r="H2" i="5" s="1"/>
  <c r="I2" i="5" s="1"/>
  <c r="J2" i="5" s="1"/>
  <c r="K2" i="5" s="1"/>
  <c r="L2" i="5" s="1"/>
  <c r="G6" i="5"/>
  <c r="G32" i="3" s="1"/>
  <c r="G23" i="4" s="1"/>
  <c r="F6" i="5"/>
  <c r="G4" i="5" s="1"/>
  <c r="E6" i="5"/>
  <c r="F4" i="5" s="1"/>
  <c r="F9" i="5" s="1"/>
  <c r="D6" i="5"/>
  <c r="E4" i="5" s="1"/>
  <c r="E9" i="5" s="1"/>
  <c r="C6" i="5"/>
  <c r="D4" i="5" s="1"/>
  <c r="D9" i="5" s="1"/>
  <c r="I1" i="4"/>
  <c r="J1" i="4" s="1"/>
  <c r="K1" i="4" s="1"/>
  <c r="L1" i="4" s="1"/>
  <c r="G68" i="2"/>
  <c r="G67" i="2" s="1"/>
  <c r="F68" i="2"/>
  <c r="F67" i="2" s="1"/>
  <c r="E68" i="2"/>
  <c r="E67" i="2" s="1"/>
  <c r="D68" i="2"/>
  <c r="D67" i="2" s="1"/>
  <c r="G57" i="2"/>
  <c r="F57" i="2"/>
  <c r="F56" i="2" s="1"/>
  <c r="F62" i="2" s="1"/>
  <c r="D57" i="2"/>
  <c r="D56" i="2" s="1"/>
  <c r="D62" i="2" s="1"/>
  <c r="F65" i="2"/>
  <c r="E65" i="2"/>
  <c r="D65" i="2"/>
  <c r="G65" i="2"/>
  <c r="G54" i="2"/>
  <c r="F54" i="2"/>
  <c r="E54" i="2"/>
  <c r="D54" i="2"/>
  <c r="G58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D79" i="2"/>
  <c r="D78" i="2"/>
  <c r="D77" i="2"/>
  <c r="D76" i="2"/>
  <c r="D75" i="2"/>
  <c r="D74" i="2"/>
  <c r="G19" i="2"/>
  <c r="F19" i="2"/>
  <c r="E19" i="2"/>
  <c r="D19" i="2"/>
  <c r="G6" i="2"/>
  <c r="G21" i="7" s="1"/>
  <c r="F6" i="2"/>
  <c r="F21" i="7" s="1"/>
  <c r="E6" i="2"/>
  <c r="D6" i="2"/>
  <c r="D21" i="7" s="1"/>
  <c r="E2" i="2"/>
  <c r="F2" i="2" s="1"/>
  <c r="G2" i="2" s="1"/>
  <c r="H2" i="2" s="1"/>
  <c r="I2" i="2" s="1"/>
  <c r="J2" i="2" s="1"/>
  <c r="K2" i="2" s="1"/>
  <c r="L2" i="2" s="1"/>
  <c r="E7" i="6" l="1"/>
  <c r="G17" i="3"/>
  <c r="F11" i="6"/>
  <c r="F7" i="6"/>
  <c r="G16" i="7"/>
  <c r="E22" i="6"/>
  <c r="I9" i="5"/>
  <c r="G22" i="6"/>
  <c r="G17" i="6"/>
  <c r="F16" i="7"/>
  <c r="D22" i="6"/>
  <c r="L23" i="7"/>
  <c r="K23" i="7"/>
  <c r="J23" i="7"/>
  <c r="I23" i="7"/>
  <c r="H23" i="7"/>
  <c r="H8" i="2"/>
  <c r="D7" i="6"/>
  <c r="D18" i="6"/>
  <c r="D17" i="6" s="1"/>
  <c r="H4" i="5"/>
  <c r="H6" i="5" s="1"/>
  <c r="I4" i="5" s="1"/>
  <c r="I6" i="5" s="1"/>
  <c r="J4" i="5" s="1"/>
  <c r="J6" i="5" s="1"/>
  <c r="K4" i="5" s="1"/>
  <c r="K6" i="5" s="1"/>
  <c r="L4" i="5" s="1"/>
  <c r="L6" i="5" s="1"/>
  <c r="F19" i="7"/>
  <c r="J20" i="7"/>
  <c r="L22" i="7"/>
  <c r="G5" i="5"/>
  <c r="K22" i="7"/>
  <c r="I8" i="2"/>
  <c r="H17" i="2"/>
  <c r="E18" i="6"/>
  <c r="E17" i="6" s="1"/>
  <c r="G19" i="7"/>
  <c r="H19" i="7" s="1"/>
  <c r="I19" i="7" s="1"/>
  <c r="J19" i="7" s="1"/>
  <c r="K19" i="7" s="1"/>
  <c r="L19" i="7" s="1"/>
  <c r="K20" i="7"/>
  <c r="E57" i="2"/>
  <c r="E56" i="2" s="1"/>
  <c r="E62" i="2" s="1"/>
  <c r="J8" i="2"/>
  <c r="I17" i="2"/>
  <c r="F18" i="6"/>
  <c r="F17" i="6" s="1"/>
  <c r="L20" i="7"/>
  <c r="K8" i="2"/>
  <c r="J17" i="2"/>
  <c r="G7" i="6"/>
  <c r="G11" i="6" s="1"/>
  <c r="E5" i="5"/>
  <c r="I22" i="7"/>
  <c r="D5" i="5"/>
  <c r="H22" i="7"/>
  <c r="F5" i="5"/>
  <c r="D19" i="7"/>
  <c r="H3" i="2"/>
  <c r="I4" i="2"/>
  <c r="J4" i="2" s="1"/>
  <c r="K4" i="2" s="1"/>
  <c r="J7" i="3"/>
  <c r="J6" i="3"/>
  <c r="D66" i="2"/>
  <c r="E55" i="2"/>
  <c r="E66" i="2"/>
  <c r="F66" i="2"/>
  <c r="G66" i="2"/>
  <c r="E71" i="2"/>
  <c r="G71" i="2"/>
  <c r="F71" i="2"/>
  <c r="D71" i="2"/>
  <c r="F55" i="2"/>
  <c r="D55" i="2"/>
  <c r="F60" i="2"/>
  <c r="D60" i="2"/>
  <c r="G56" i="2"/>
  <c r="G62" i="2" s="1"/>
  <c r="E60" i="2"/>
  <c r="D80" i="2"/>
  <c r="G80" i="2"/>
  <c r="E80" i="2"/>
  <c r="F80" i="2"/>
  <c r="D6" i="6" l="1"/>
  <c r="D13" i="6"/>
  <c r="F22" i="6"/>
  <c r="H22" i="6" s="1"/>
  <c r="H19" i="6" s="1"/>
  <c r="D11" i="6"/>
  <c r="F6" i="6"/>
  <c r="F13" i="6"/>
  <c r="G13" i="6"/>
  <c r="H13" i="6" s="1"/>
  <c r="I13" i="6" s="1"/>
  <c r="J13" i="6" s="1"/>
  <c r="K13" i="6" s="1"/>
  <c r="L13" i="6" s="1"/>
  <c r="G6" i="6"/>
  <c r="J9" i="5"/>
  <c r="I8" i="5"/>
  <c r="I19" i="2" s="1"/>
  <c r="E6" i="6"/>
  <c r="E13" i="6"/>
  <c r="H8" i="5"/>
  <c r="H19" i="2" s="1"/>
  <c r="E11" i="6"/>
  <c r="H16" i="2"/>
  <c r="H6" i="7"/>
  <c r="I3" i="2"/>
  <c r="H4" i="7"/>
  <c r="H7" i="2"/>
  <c r="E81" i="2"/>
  <c r="G55" i="2"/>
  <c r="G60" i="2"/>
  <c r="F81" i="2"/>
  <c r="G81" i="2"/>
  <c r="N51" i="2"/>
  <c r="H13" i="2" l="1"/>
  <c r="H20" i="6"/>
  <c r="I16" i="6" s="1"/>
  <c r="I18" i="6" s="1"/>
  <c r="K9" i="5"/>
  <c r="J8" i="5"/>
  <c r="J19" i="2" s="1"/>
  <c r="L22" i="6"/>
  <c r="K22" i="6"/>
  <c r="J22" i="6"/>
  <c r="I22" i="6"/>
  <c r="H7" i="6"/>
  <c r="J11" i="6"/>
  <c r="I11" i="6"/>
  <c r="H11" i="6"/>
  <c r="H8" i="6" s="1"/>
  <c r="H14" i="2" s="1"/>
  <c r="H12" i="2" s="1"/>
  <c r="H6" i="4" s="1"/>
  <c r="K11" i="6"/>
  <c r="L11" i="6"/>
  <c r="J3" i="2"/>
  <c r="I6" i="7"/>
  <c r="I4" i="7"/>
  <c r="I7" i="2"/>
  <c r="I6" i="2" s="1"/>
  <c r="I7" i="6"/>
  <c r="I16" i="2"/>
  <c r="H22" i="2"/>
  <c r="H3" i="4"/>
  <c r="H6" i="2"/>
  <c r="H6" i="6"/>
  <c r="H8" i="4" s="1"/>
  <c r="L9" i="5" l="1"/>
  <c r="L8" i="5" s="1"/>
  <c r="L19" i="2" s="1"/>
  <c r="K8" i="5"/>
  <c r="K19" i="2" s="1"/>
  <c r="I19" i="6"/>
  <c r="I13" i="2" s="1"/>
  <c r="I20" i="6"/>
  <c r="J16" i="6" s="1"/>
  <c r="J18" i="6" s="1"/>
  <c r="J19" i="6" s="1"/>
  <c r="H10" i="7"/>
  <c r="H5" i="7"/>
  <c r="H7" i="7" s="1"/>
  <c r="H10" i="2"/>
  <c r="H12" i="7" s="1"/>
  <c r="I3" i="4"/>
  <c r="I22" i="2"/>
  <c r="I5" i="7"/>
  <c r="I7" i="7" s="1"/>
  <c r="I10" i="7"/>
  <c r="H9" i="6"/>
  <c r="I5" i="6" s="1"/>
  <c r="I6" i="6" s="1"/>
  <c r="I8" i="4" s="1"/>
  <c r="I8" i="6"/>
  <c r="I14" i="2" s="1"/>
  <c r="K3" i="2"/>
  <c r="J4" i="7"/>
  <c r="J7" i="2"/>
  <c r="J6" i="2" s="1"/>
  <c r="J7" i="6"/>
  <c r="J16" i="2"/>
  <c r="J6" i="7"/>
  <c r="J20" i="6" l="1"/>
  <c r="K16" i="6" s="1"/>
  <c r="K18" i="6" s="1"/>
  <c r="K19" i="6" s="1"/>
  <c r="J13" i="2"/>
  <c r="I12" i="2"/>
  <c r="I6" i="4" s="1"/>
  <c r="I9" i="6"/>
  <c r="J5" i="6" s="1"/>
  <c r="J8" i="6"/>
  <c r="J14" i="2" s="1"/>
  <c r="J12" i="2" s="1"/>
  <c r="J6" i="4" s="1"/>
  <c r="J6" i="6"/>
  <c r="J8" i="4" s="1"/>
  <c r="L3" i="2"/>
  <c r="K4" i="7"/>
  <c r="K7" i="2"/>
  <c r="K7" i="6"/>
  <c r="K16" i="2"/>
  <c r="K6" i="7"/>
  <c r="K6" i="2"/>
  <c r="J3" i="4"/>
  <c r="J22" i="2"/>
  <c r="J5" i="7"/>
  <c r="J7" i="7" s="1"/>
  <c r="J10" i="7"/>
  <c r="M21" i="2"/>
  <c r="H21" i="2"/>
  <c r="I21" i="2" l="1"/>
  <c r="H4" i="4"/>
  <c r="H5" i="4" s="1"/>
  <c r="H23" i="2"/>
  <c r="H11" i="7" s="1"/>
  <c r="H13" i="7" s="1"/>
  <c r="H15" i="7" s="1"/>
  <c r="H16" i="7" s="1"/>
  <c r="H7" i="4" s="1"/>
  <c r="H9" i="4" s="1"/>
  <c r="I10" i="2"/>
  <c r="I12" i="7" s="1"/>
  <c r="K20" i="6"/>
  <c r="L16" i="6" s="1"/>
  <c r="L18" i="6" s="1"/>
  <c r="L19" i="6" s="1"/>
  <c r="K13" i="2"/>
  <c r="J10" i="2"/>
  <c r="J12" i="7" s="1"/>
  <c r="K8" i="6"/>
  <c r="K14" i="2" s="1"/>
  <c r="K10" i="7"/>
  <c r="K5" i="7"/>
  <c r="K7" i="7" s="1"/>
  <c r="J9" i="6"/>
  <c r="K5" i="6" s="1"/>
  <c r="K6" i="6" s="1"/>
  <c r="K8" i="4" s="1"/>
  <c r="K3" i="4"/>
  <c r="K22" i="2"/>
  <c r="L7" i="6"/>
  <c r="L16" i="2"/>
  <c r="L6" i="7"/>
  <c r="L4" i="7"/>
  <c r="L7" i="2"/>
  <c r="L6" i="2" s="1"/>
  <c r="L20" i="6" l="1"/>
  <c r="L13" i="2"/>
  <c r="K12" i="2"/>
  <c r="K6" i="4" s="1"/>
  <c r="J21" i="2"/>
  <c r="I23" i="2"/>
  <c r="I11" i="7" s="1"/>
  <c r="I13" i="7" s="1"/>
  <c r="I15" i="7" s="1"/>
  <c r="I16" i="7" s="1"/>
  <c r="I7" i="4" s="1"/>
  <c r="I9" i="4" s="1"/>
  <c r="I4" i="4"/>
  <c r="I5" i="4" s="1"/>
  <c r="K9" i="6"/>
  <c r="L5" i="6" s="1"/>
  <c r="L6" i="6" s="1"/>
  <c r="L8" i="4" s="1"/>
  <c r="L8" i="6"/>
  <c r="L14" i="2" s="1"/>
  <c r="L12" i="2" s="1"/>
  <c r="L6" i="4" s="1"/>
  <c r="L17" i="4" s="1"/>
  <c r="L10" i="7"/>
  <c r="L5" i="7"/>
  <c r="L7" i="7" s="1"/>
  <c r="L22" i="2"/>
  <c r="L23" i="2" s="1"/>
  <c r="L11" i="7" s="1"/>
  <c r="L3" i="4"/>
  <c r="K21" i="2" l="1"/>
  <c r="J23" i="2"/>
  <c r="J11" i="7" s="1"/>
  <c r="J13" i="7" s="1"/>
  <c r="J15" i="7" s="1"/>
  <c r="J16" i="7" s="1"/>
  <c r="J7" i="4" s="1"/>
  <c r="J4" i="4"/>
  <c r="J5" i="4" s="1"/>
  <c r="J9" i="4" s="1"/>
  <c r="K10" i="2"/>
  <c r="K12" i="7" s="1"/>
  <c r="L10" i="2"/>
  <c r="L12" i="7" s="1"/>
  <c r="L13" i="7" s="1"/>
  <c r="L15" i="7" s="1"/>
  <c r="L9" i="6"/>
  <c r="L4" i="4"/>
  <c r="L5" i="4" s="1"/>
  <c r="K23" i="2" l="1"/>
  <c r="K11" i="7" s="1"/>
  <c r="K13" i="7" s="1"/>
  <c r="K15" i="7" s="1"/>
  <c r="K4" i="4"/>
  <c r="K5" i="4" s="1"/>
  <c r="K16" i="7" l="1"/>
  <c r="K7" i="4" s="1"/>
  <c r="L16" i="7"/>
  <c r="L7" i="4" s="1"/>
  <c r="L9" i="4" s="1"/>
  <c r="K9" i="4"/>
  <c r="H10" i="4"/>
  <c r="I10" i="4"/>
  <c r="J10" i="4"/>
  <c r="K10" i="4"/>
  <c r="L10" i="4"/>
  <c r="G13" i="4"/>
  <c r="G17" i="4"/>
  <c r="G20" i="4"/>
  <c r="G22" i="4"/>
  <c r="G25" i="4"/>
  <c r="G27" i="4"/>
  <c r="M6" i="3"/>
  <c r="M7" i="3"/>
  <c r="M9" i="3"/>
  <c r="G28" i="3"/>
  <c r="G30" i="3"/>
</calcChain>
</file>

<file path=xl/sharedStrings.xml><?xml version="1.0" encoding="utf-8"?>
<sst xmlns="http://schemas.openxmlformats.org/spreadsheetml/2006/main" count="152" uniqueCount="106">
  <si>
    <t>Sales</t>
  </si>
  <si>
    <t>Operating profits (EBIT)</t>
  </si>
  <si>
    <t>Tax rates</t>
  </si>
  <si>
    <t>PBT</t>
  </si>
  <si>
    <t>Tax expesnes</t>
  </si>
  <si>
    <t>Debtors</t>
  </si>
  <si>
    <t>Inventory</t>
  </si>
  <si>
    <t>Other current assets</t>
  </si>
  <si>
    <t>Creditors</t>
  </si>
  <si>
    <t>Depreciation &amp; Amortization</t>
  </si>
  <si>
    <t>Accured income tax payable</t>
  </si>
  <si>
    <t>Other accruals</t>
  </si>
  <si>
    <t>Figures in $ Mn</t>
  </si>
  <si>
    <t xml:space="preserve">Historical </t>
  </si>
  <si>
    <t>Projected</t>
  </si>
  <si>
    <t>Operating profit margins (%)</t>
  </si>
  <si>
    <t>Growth rate %</t>
  </si>
  <si>
    <t>Debtor days</t>
  </si>
  <si>
    <t>Inventory days</t>
  </si>
  <si>
    <t>Gross profit</t>
  </si>
  <si>
    <t>Cost of sales</t>
  </si>
  <si>
    <t>GP margins %</t>
  </si>
  <si>
    <t>Other current assets as % of revenue</t>
  </si>
  <si>
    <t>Creditor days</t>
  </si>
  <si>
    <t>Interest expenses</t>
  </si>
  <si>
    <t>Debt Schedule</t>
  </si>
  <si>
    <t>Fixed asset schedule</t>
  </si>
  <si>
    <t>Working capital schedule</t>
  </si>
  <si>
    <t>Opening balance</t>
  </si>
  <si>
    <t>Closing balance</t>
  </si>
  <si>
    <t>Less:Depreciation</t>
  </si>
  <si>
    <t>Add: Net Purchases</t>
  </si>
  <si>
    <t>Total Fixed assets</t>
  </si>
  <si>
    <t>Net Working capital</t>
  </si>
  <si>
    <t xml:space="preserve">Changes in working capital </t>
  </si>
  <si>
    <t>Interest rate (pre tax)</t>
  </si>
  <si>
    <t xml:space="preserve">Less:Amortization </t>
  </si>
  <si>
    <t xml:space="preserve">Amrotization </t>
  </si>
  <si>
    <t xml:space="preserve">Deprecriation </t>
  </si>
  <si>
    <t xml:space="preserve">Rate of depreciation </t>
  </si>
  <si>
    <t xml:space="preserve">Rate of amortization </t>
  </si>
  <si>
    <t>Fixed asset turnover ratio</t>
  </si>
  <si>
    <t>Other intangible assets schedule</t>
  </si>
  <si>
    <t>Cost of debt</t>
  </si>
  <si>
    <t>Cost of equity</t>
  </si>
  <si>
    <t xml:space="preserve">Risk free rate </t>
  </si>
  <si>
    <t>Risk free rate</t>
  </si>
  <si>
    <t>Beta</t>
  </si>
  <si>
    <t>Return of markets</t>
  </si>
  <si>
    <t xml:space="preserve">Add: Company risk premium </t>
  </si>
  <si>
    <t>Add: Country risk premium</t>
  </si>
  <si>
    <t>Post tax cost of debt</t>
  </si>
  <si>
    <t>Ashwath Damodran dataset</t>
  </si>
  <si>
    <t>Marginal rate</t>
  </si>
  <si>
    <t>Calculation of beta</t>
  </si>
  <si>
    <t>Last 3 years weekly data</t>
  </si>
  <si>
    <t>Return of colgate</t>
  </si>
  <si>
    <t>Adj Close</t>
  </si>
  <si>
    <t>Return of market</t>
  </si>
  <si>
    <t>Date</t>
  </si>
  <si>
    <t>Calculation of return of market</t>
  </si>
  <si>
    <t>Start date</t>
  </si>
  <si>
    <t>Valuation date</t>
  </si>
  <si>
    <t>Years</t>
  </si>
  <si>
    <t>CAGR</t>
  </si>
  <si>
    <t>WACC Calculation</t>
  </si>
  <si>
    <t>Kd</t>
  </si>
  <si>
    <t>Wd</t>
  </si>
  <si>
    <t>Ke</t>
  </si>
  <si>
    <t>We</t>
  </si>
  <si>
    <t>Calculation of  market value weights</t>
  </si>
  <si>
    <t xml:space="preserve">Shares outstanding </t>
  </si>
  <si>
    <t>Price per share</t>
  </si>
  <si>
    <t>Value of equity shares</t>
  </si>
  <si>
    <t>Value of debt</t>
  </si>
  <si>
    <t>WACC</t>
  </si>
  <si>
    <t>EBIT</t>
  </si>
  <si>
    <t>Less: taxes</t>
  </si>
  <si>
    <t>NOPAT</t>
  </si>
  <si>
    <t>Add: Depreciation and amortization</t>
  </si>
  <si>
    <t>Add/Less: Working capital changes</t>
  </si>
  <si>
    <t>Less: Investment in fixed assets</t>
  </si>
  <si>
    <t>FCFF</t>
  </si>
  <si>
    <t>Discount factor</t>
  </si>
  <si>
    <t>Present value of Explicit period</t>
  </si>
  <si>
    <t>Value of firm</t>
  </si>
  <si>
    <t xml:space="preserve">Less: Debt </t>
  </si>
  <si>
    <t>Exit multiple</t>
  </si>
  <si>
    <t>EV/EBITDA</t>
  </si>
  <si>
    <t>EBITDA</t>
  </si>
  <si>
    <t>Present value of terminal value</t>
  </si>
  <si>
    <t>Total Present value of operations</t>
  </si>
  <si>
    <t>Enterprise value (Terminal value)</t>
  </si>
  <si>
    <t>Add: Non Operating assets including cash</t>
  </si>
  <si>
    <t>Less: Non-controlling interest</t>
  </si>
  <si>
    <t>Value of equity</t>
  </si>
  <si>
    <t>Value per share (20/02/2021)</t>
  </si>
  <si>
    <t>Current Liabilities</t>
  </si>
  <si>
    <t>Total current assets</t>
  </si>
  <si>
    <t>Total current liabilities</t>
  </si>
  <si>
    <t>Current assets</t>
  </si>
  <si>
    <t>Other operating expenses</t>
  </si>
  <si>
    <t>Total OIA</t>
  </si>
  <si>
    <t>Add/Less: Debt taken (Repaid)</t>
  </si>
  <si>
    <t>Accured income tax payable (as % of Income tax)</t>
  </si>
  <si>
    <t>Other accruals (% of operating expenses)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</si>
</sst>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0\ &quot;days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3" fillId="0" borderId="0" xfId="0" applyFont="1"/>
    <xf numFmtId="164" fontId="3" fillId="0" borderId="0" xfId="2" applyNumberFormat="1" applyFont="1"/>
    <xf numFmtId="9" fontId="3" fillId="0" borderId="0" xfId="2" applyFont="1"/>
    <xf numFmtId="1" fontId="3" fillId="0" borderId="0" xfId="0" applyNumberFormat="1" applyFont="1"/>
    <xf numFmtId="43" fontId="3" fillId="0" borderId="0" xfId="1" applyFont="1"/>
    <xf numFmtId="165" fontId="3" fillId="0" borderId="0" xfId="1" applyNumberFormat="1" applyFont="1"/>
    <xf numFmtId="43" fontId="0" fillId="0" borderId="0" xfId="1" applyFont="1"/>
    <xf numFmtId="165" fontId="0" fillId="0" borderId="0" xfId="1" applyNumberFormat="1" applyFont="1"/>
    <xf numFmtId="165" fontId="3" fillId="0" borderId="0" xfId="0" applyNumberFormat="1" applyFont="1"/>
    <xf numFmtId="165" fontId="0" fillId="0" borderId="0" xfId="0" applyNumberFormat="1"/>
    <xf numFmtId="43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43" fontId="2" fillId="0" borderId="0" xfId="0" applyNumberFormat="1" applyFont="1"/>
    <xf numFmtId="43" fontId="2" fillId="0" borderId="0" xfId="1" applyFont="1"/>
    <xf numFmtId="0" fontId="5" fillId="0" borderId="0" xfId="0" applyFont="1"/>
    <xf numFmtId="0" fontId="6" fillId="0" borderId="0" xfId="0" applyFont="1"/>
    <xf numFmtId="9" fontId="7" fillId="0" borderId="0" xfId="2" applyFont="1"/>
    <xf numFmtId="9" fontId="6" fillId="0" borderId="0" xfId="2" applyFont="1"/>
    <xf numFmtId="0" fontId="7" fillId="0" borderId="0" xfId="0" applyFont="1"/>
    <xf numFmtId="164" fontId="7" fillId="0" borderId="0" xfId="2" applyNumberFormat="1" applyFont="1"/>
    <xf numFmtId="164" fontId="6" fillId="0" borderId="0" xfId="2" applyNumberFormat="1" applyFont="1"/>
    <xf numFmtId="164" fontId="6" fillId="0" borderId="0" xfId="0" applyNumberFormat="1" applyFont="1"/>
    <xf numFmtId="0" fontId="2" fillId="0" borderId="1" xfId="0" applyFont="1" applyBorder="1"/>
    <xf numFmtId="0" fontId="0" fillId="0" borderId="1" xfId="0" applyBorder="1"/>
    <xf numFmtId="166" fontId="3" fillId="0" borderId="0" xfId="0" applyNumberFormat="1" applyFont="1"/>
    <xf numFmtId="166" fontId="0" fillId="0" borderId="0" xfId="0" applyNumberFormat="1"/>
    <xf numFmtId="0" fontId="4" fillId="0" borderId="1" xfId="0" applyFont="1" applyBorder="1"/>
    <xf numFmtId="165" fontId="2" fillId="0" borderId="1" xfId="0" applyNumberFormat="1" applyFont="1" applyBorder="1"/>
    <xf numFmtId="165" fontId="2" fillId="0" borderId="1" xfId="1" applyNumberFormat="1" applyFont="1" applyBorder="1"/>
    <xf numFmtId="1" fontId="4" fillId="0" borderId="1" xfId="0" applyNumberFormat="1" applyFont="1" applyBorder="1"/>
    <xf numFmtId="1" fontId="2" fillId="0" borderId="1" xfId="0" applyNumberFormat="1" applyFont="1" applyBorder="1"/>
    <xf numFmtId="165" fontId="1" fillId="0" borderId="0" xfId="1" applyNumberFormat="1" applyFont="1"/>
    <xf numFmtId="15" fontId="0" fillId="0" borderId="0" xfId="0" applyNumberFormat="1"/>
    <xf numFmtId="10" fontId="2" fillId="0" borderId="1" xfId="2" applyNumberFormat="1" applyFont="1" applyBorder="1"/>
    <xf numFmtId="14" fontId="0" fillId="0" borderId="0" xfId="0" applyNumberFormat="1"/>
    <xf numFmtId="15" fontId="8" fillId="0" borderId="0" xfId="0" applyNumberFormat="1" applyFont="1"/>
    <xf numFmtId="0" fontId="0" fillId="0" borderId="0" xfId="0" applyAlignment="1">
      <alignment horizontal="right"/>
    </xf>
    <xf numFmtId="164" fontId="2" fillId="0" borderId="1" xfId="2" applyNumberFormat="1" applyFont="1" applyBorder="1"/>
    <xf numFmtId="9" fontId="1" fillId="0" borderId="0" xfId="2" applyFont="1"/>
    <xf numFmtId="0" fontId="0" fillId="0" borderId="0" xfId="0" applyAlignment="1">
      <alignment horizontal="left" indent="1"/>
    </xf>
    <xf numFmtId="43" fontId="2" fillId="0" borderId="1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43" fontId="2" fillId="2" borderId="4" xfId="0" applyNumberFormat="1" applyFont="1" applyFill="1" applyBorder="1"/>
    <xf numFmtId="1" fontId="4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left" indent="1"/>
    </xf>
    <xf numFmtId="0" fontId="11" fillId="0" borderId="0" xfId="0" applyFont="1"/>
    <xf numFmtId="165" fontId="0" fillId="0" borderId="1" xfId="0" applyNumberFormat="1" applyBorder="1"/>
    <xf numFmtId="165" fontId="0" fillId="0" borderId="1" xfId="1" applyNumberFormat="1" applyFont="1" applyBorder="1"/>
    <xf numFmtId="165" fontId="0" fillId="0" borderId="0" xfId="1" applyNumberFormat="1" applyFont="1" applyFill="1"/>
    <xf numFmtId="165" fontId="11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10" fontId="2" fillId="0" borderId="5" xfId="0" applyNumberFormat="1" applyFont="1" applyBorder="1"/>
    <xf numFmtId="165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AF87-33E8-4C35-A087-C383C1C729EB}">
  <dimension ref="A1:O87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4" sqref="L4"/>
    </sheetView>
  </sheetViews>
  <sheetFormatPr defaultRowHeight="14.5" x14ac:dyDescent="0.35"/>
  <cols>
    <col min="1" max="1" width="24.54296875" bestFit="1" customWidth="1"/>
    <col min="7" max="7" width="9.90625" bestFit="1" customWidth="1"/>
  </cols>
  <sheetData>
    <row r="1" spans="1:15" x14ac:dyDescent="0.35">
      <c r="A1" s="1" t="s">
        <v>12</v>
      </c>
      <c r="D1" s="65" t="s">
        <v>13</v>
      </c>
      <c r="E1" s="65"/>
      <c r="F1" s="65"/>
      <c r="G1" s="65"/>
      <c r="H1" s="66" t="s">
        <v>14</v>
      </c>
      <c r="I1" s="66"/>
      <c r="J1" s="66"/>
      <c r="K1" s="66"/>
      <c r="L1" s="66"/>
    </row>
    <row r="2" spans="1:15" x14ac:dyDescent="0.35">
      <c r="A2" s="1"/>
      <c r="D2" s="7">
        <v>2017</v>
      </c>
      <c r="E2" s="7">
        <f>D2+1</f>
        <v>2018</v>
      </c>
      <c r="F2" s="7">
        <f t="shared" ref="F2:G2" si="0">E2+1</f>
        <v>2019</v>
      </c>
      <c r="G2" s="7">
        <f t="shared" si="0"/>
        <v>2020</v>
      </c>
      <c r="H2" s="1">
        <f>G2+1</f>
        <v>2021</v>
      </c>
      <c r="I2" s="1">
        <f t="shared" ref="I2:L2" si="1">H2+1</f>
        <v>2022</v>
      </c>
      <c r="J2" s="1">
        <f t="shared" si="1"/>
        <v>2023</v>
      </c>
      <c r="K2" s="1">
        <f t="shared" si="1"/>
        <v>2024</v>
      </c>
      <c r="L2" s="1">
        <f t="shared" si="1"/>
        <v>2025</v>
      </c>
    </row>
    <row r="3" spans="1:15" x14ac:dyDescent="0.35">
      <c r="A3" s="1" t="s">
        <v>0</v>
      </c>
      <c r="D3" s="8">
        <v>15454</v>
      </c>
      <c r="E3" s="8">
        <v>15544</v>
      </c>
      <c r="F3" s="8">
        <v>15693</v>
      </c>
      <c r="G3" s="8">
        <v>16471</v>
      </c>
      <c r="H3" s="6">
        <f>G3*(1+H4)</f>
        <v>17190.140254380934</v>
      </c>
      <c r="I3" s="6">
        <f t="shared" ref="I3:L3" si="2">H3*(1+I4)</f>
        <v>17838.994930914487</v>
      </c>
      <c r="J3" s="6">
        <f t="shared" si="2"/>
        <v>18406.819017571637</v>
      </c>
      <c r="K3" s="6">
        <f t="shared" si="2"/>
        <v>18883.836312710755</v>
      </c>
      <c r="L3" s="6">
        <f t="shared" si="2"/>
        <v>19261.513038964971</v>
      </c>
    </row>
    <row r="4" spans="1:15" x14ac:dyDescent="0.35">
      <c r="A4" s="55" t="s">
        <v>16</v>
      </c>
      <c r="B4" s="24"/>
      <c r="C4" s="24"/>
      <c r="D4" s="27"/>
      <c r="E4" s="28">
        <f>E3/D3-1</f>
        <v>5.8237349553513784E-3</v>
      </c>
      <c r="F4" s="28">
        <f t="shared" ref="F4:G4" si="3">F3/E3-1</f>
        <v>9.5856922285126878E-3</v>
      </c>
      <c r="G4" s="28">
        <f t="shared" si="3"/>
        <v>4.9576244185305596E-2</v>
      </c>
      <c r="H4" s="29">
        <f>G4-$M$4</f>
        <v>4.3660995348244476E-2</v>
      </c>
      <c r="I4" s="29">
        <f t="shared" ref="I4:K4" si="4">H4-$M$4</f>
        <v>3.7745746511183356E-2</v>
      </c>
      <c r="J4" s="29">
        <f t="shared" si="4"/>
        <v>3.1830497674122236E-2</v>
      </c>
      <c r="K4" s="29">
        <f t="shared" si="4"/>
        <v>2.5915248837061117E-2</v>
      </c>
      <c r="L4" s="29">
        <v>0.02</v>
      </c>
      <c r="M4" s="29">
        <f>(G4-L4)/5</f>
        <v>5.9152488370611189E-3</v>
      </c>
      <c r="N4" s="30"/>
      <c r="O4" s="23"/>
    </row>
    <row r="5" spans="1:15" x14ac:dyDescent="0.35">
      <c r="A5" s="1"/>
      <c r="D5" s="8"/>
      <c r="E5" s="9"/>
      <c r="F5" s="9"/>
      <c r="G5" s="9"/>
      <c r="H5" s="3"/>
      <c r="I5" s="3"/>
      <c r="J5" s="3"/>
      <c r="K5" s="3"/>
      <c r="L5" s="3"/>
      <c r="M5" s="4"/>
      <c r="N5" s="5"/>
    </row>
    <row r="6" spans="1:15" x14ac:dyDescent="0.35">
      <c r="A6" s="1" t="s">
        <v>20</v>
      </c>
      <c r="D6" s="16">
        <f>D3-D7</f>
        <v>6174</v>
      </c>
      <c r="E6" s="16">
        <f t="shared" ref="E6:G6" si="5">E3-E7</f>
        <v>6313</v>
      </c>
      <c r="F6" s="16">
        <f t="shared" si="5"/>
        <v>6368</v>
      </c>
      <c r="G6" s="16">
        <f t="shared" si="5"/>
        <v>6454</v>
      </c>
      <c r="H6" s="15">
        <f>H3-H7</f>
        <v>6890.1170242651988</v>
      </c>
      <c r="I6" s="15">
        <f t="shared" ref="I6:L6" si="6">I3-I7</f>
        <v>7150.1896348955033</v>
      </c>
      <c r="J6" s="15">
        <f t="shared" si="6"/>
        <v>7377.7837294385772</v>
      </c>
      <c r="K6" s="15">
        <f t="shared" si="6"/>
        <v>7568.9808306529976</v>
      </c>
      <c r="L6" s="15">
        <f t="shared" si="6"/>
        <v>7720.3604472660591</v>
      </c>
      <c r="M6" s="4"/>
      <c r="N6" s="5"/>
    </row>
    <row r="7" spans="1:15" x14ac:dyDescent="0.35">
      <c r="A7" s="1" t="s">
        <v>19</v>
      </c>
      <c r="D7" s="13">
        <v>9280</v>
      </c>
      <c r="E7" s="13">
        <v>9231</v>
      </c>
      <c r="F7" s="13">
        <v>9325</v>
      </c>
      <c r="G7" s="13">
        <v>10017</v>
      </c>
      <c r="H7" s="15">
        <f>H8*H3</f>
        <v>10300.023230115736</v>
      </c>
      <c r="I7" s="15">
        <f t="shared" ref="I7:L7" si="7">I8*I3</f>
        <v>10688.805296018983</v>
      </c>
      <c r="J7" s="15">
        <f t="shared" si="7"/>
        <v>11029.03528813306</v>
      </c>
      <c r="K7" s="15">
        <f t="shared" si="7"/>
        <v>11314.855482057757</v>
      </c>
      <c r="L7" s="15">
        <f t="shared" si="7"/>
        <v>11541.152591698912</v>
      </c>
      <c r="M7" s="4"/>
      <c r="N7" s="5"/>
    </row>
    <row r="8" spans="1:15" x14ac:dyDescent="0.35">
      <c r="A8" s="55" t="s">
        <v>21</v>
      </c>
      <c r="B8" s="24"/>
      <c r="C8" s="24"/>
      <c r="D8" s="25">
        <f>D7/D3</f>
        <v>0.60049178206289633</v>
      </c>
      <c r="E8" s="25">
        <f t="shared" ref="E8:G8" si="8">E7/E3</f>
        <v>0.59386258363355637</v>
      </c>
      <c r="F8" s="25">
        <f t="shared" si="8"/>
        <v>0.59421398075575094</v>
      </c>
      <c r="G8" s="25">
        <f t="shared" si="8"/>
        <v>0.60815979600509984</v>
      </c>
      <c r="H8" s="26">
        <f>AVERAGE($D$8:$G$8)</f>
        <v>0.59918203561432593</v>
      </c>
      <c r="I8" s="26">
        <f t="shared" ref="I8:L8" si="9">AVERAGE($D$8:$G$8)</f>
        <v>0.59918203561432593</v>
      </c>
      <c r="J8" s="26">
        <f t="shared" si="9"/>
        <v>0.59918203561432593</v>
      </c>
      <c r="K8" s="26">
        <f t="shared" si="9"/>
        <v>0.59918203561432593</v>
      </c>
      <c r="L8" s="26">
        <f t="shared" si="9"/>
        <v>0.59918203561432593</v>
      </c>
      <c r="M8" s="4"/>
      <c r="N8" s="5"/>
    </row>
    <row r="9" spans="1:15" x14ac:dyDescent="0.35">
      <c r="A9" s="24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4"/>
      <c r="N9" s="5"/>
    </row>
    <row r="10" spans="1:15" x14ac:dyDescent="0.35">
      <c r="A10" s="1" t="s">
        <v>101</v>
      </c>
      <c r="B10" s="24"/>
      <c r="C10" s="24"/>
      <c r="D10" s="8">
        <f>D7-D16-D12</f>
        <v>5098</v>
      </c>
      <c r="E10" s="8">
        <f t="shared" ref="E10:G10" si="10">E7-E16-E12</f>
        <v>5026</v>
      </c>
      <c r="F10" s="8">
        <f t="shared" si="10"/>
        <v>5252</v>
      </c>
      <c r="G10" s="8">
        <f t="shared" si="10"/>
        <v>5539</v>
      </c>
      <c r="H10" s="59">
        <f>H7-H16-H12</f>
        <v>5707.6714010669621</v>
      </c>
      <c r="I10" s="59">
        <f t="shared" ref="I10:L10" si="11">I7-I16-I12</f>
        <v>5928.3044519534433</v>
      </c>
      <c r="J10" s="59">
        <f t="shared" si="11"/>
        <v>6121.5974348740046</v>
      </c>
      <c r="K10" s="59">
        <f t="shared" si="11"/>
        <v>6284.2607345909446</v>
      </c>
      <c r="L10" s="59">
        <f t="shared" si="11"/>
        <v>6413.4229667385207</v>
      </c>
      <c r="M10" s="4"/>
      <c r="N10" s="5"/>
    </row>
    <row r="11" spans="1:15" x14ac:dyDescent="0.35">
      <c r="A11" s="1"/>
      <c r="B11" s="24"/>
      <c r="C11" s="24"/>
      <c r="D11" s="8"/>
      <c r="E11" s="8"/>
      <c r="F11" s="8"/>
      <c r="G11" s="8"/>
      <c r="H11" s="26"/>
      <c r="I11" s="26"/>
      <c r="J11" s="26"/>
      <c r="K11" s="26"/>
      <c r="L11" s="26"/>
      <c r="M11" s="4"/>
      <c r="N11" s="5"/>
    </row>
    <row r="12" spans="1:15" x14ac:dyDescent="0.35">
      <c r="A12" s="1" t="s">
        <v>9</v>
      </c>
      <c r="D12" s="7">
        <v>475</v>
      </c>
      <c r="E12" s="7">
        <v>511</v>
      </c>
      <c r="F12" s="7">
        <v>519</v>
      </c>
      <c r="G12" s="7">
        <v>593</v>
      </c>
      <c r="H12" s="59">
        <f>H13+H14</f>
        <v>553.26776024590038</v>
      </c>
      <c r="I12" s="59">
        <f t="shared" ref="I12:L12" si="12">I13+I14</f>
        <v>568.95853186427507</v>
      </c>
      <c r="J12" s="59">
        <f t="shared" si="12"/>
        <v>582.47666323828344</v>
      </c>
      <c r="K12" s="59">
        <f t="shared" si="12"/>
        <v>593.55111199602072</v>
      </c>
      <c r="L12" s="59">
        <f t="shared" si="12"/>
        <v>601.94511678018353</v>
      </c>
      <c r="M12" s="4"/>
      <c r="N12" s="5"/>
    </row>
    <row r="13" spans="1:15" x14ac:dyDescent="0.35">
      <c r="A13" s="48" t="s">
        <v>37</v>
      </c>
      <c r="D13" s="8">
        <v>35</v>
      </c>
      <c r="E13" s="8">
        <v>59</v>
      </c>
      <c r="F13" s="8">
        <v>62</v>
      </c>
      <c r="G13" s="8">
        <v>88</v>
      </c>
      <c r="H13" s="59">
        <f>'Fixed asset Schedule'!H19</f>
        <v>79.586620297246313</v>
      </c>
      <c r="I13" s="59">
        <f>'Fixed asset Schedule'!I19</f>
        <v>77.397943679990604</v>
      </c>
      <c r="J13" s="59">
        <f>'Fixed asset Schedule'!J19</f>
        <v>75.269456895109101</v>
      </c>
      <c r="K13" s="59">
        <f>'Fixed asset Schedule'!K19</f>
        <v>73.199504688512349</v>
      </c>
      <c r="L13" s="59">
        <f>'Fixed asset Schedule'!L19</f>
        <v>71.186477326525093</v>
      </c>
      <c r="M13" s="4"/>
      <c r="N13" s="5"/>
    </row>
    <row r="14" spans="1:15" x14ac:dyDescent="0.35">
      <c r="A14" s="48" t="s">
        <v>38</v>
      </c>
      <c r="D14" s="8">
        <f>D12-D13</f>
        <v>440</v>
      </c>
      <c r="E14" s="8">
        <f t="shared" ref="E14:G14" si="13">E12-E13</f>
        <v>452</v>
      </c>
      <c r="F14" s="8">
        <f t="shared" si="13"/>
        <v>457</v>
      </c>
      <c r="G14" s="8">
        <f t="shared" si="13"/>
        <v>505</v>
      </c>
      <c r="H14" s="59">
        <f>'Fixed asset Schedule'!H8</f>
        <v>473.68113994865405</v>
      </c>
      <c r="I14" s="59">
        <f>'Fixed asset Schedule'!I8</f>
        <v>491.56058818428443</v>
      </c>
      <c r="J14" s="59">
        <f>'Fixed asset Schedule'!J8</f>
        <v>507.20720634317439</v>
      </c>
      <c r="K14" s="59">
        <f>'Fixed asset Schedule'!K8</f>
        <v>520.3516073075084</v>
      </c>
      <c r="L14" s="59">
        <f>'Fixed asset Schedule'!L8</f>
        <v>530.75863945365847</v>
      </c>
    </row>
    <row r="15" spans="1:15" x14ac:dyDescent="0.35">
      <c r="D15" s="8"/>
      <c r="E15" s="8"/>
      <c r="F15" s="8"/>
      <c r="G15" s="8"/>
    </row>
    <row r="16" spans="1:15" x14ac:dyDescent="0.35">
      <c r="A16" s="1" t="s">
        <v>1</v>
      </c>
      <c r="D16" s="8">
        <v>3707</v>
      </c>
      <c r="E16" s="8">
        <v>3694</v>
      </c>
      <c r="F16" s="8">
        <v>3554</v>
      </c>
      <c r="G16" s="8">
        <v>3885</v>
      </c>
      <c r="H16" s="6">
        <f>H3*H17</f>
        <v>4039.0840688028725</v>
      </c>
      <c r="I16" s="6">
        <f t="shared" ref="I16:L16" si="14">I3*I17</f>
        <v>4191.5423122012653</v>
      </c>
      <c r="J16" s="6">
        <f t="shared" si="14"/>
        <v>4324.9611900207719</v>
      </c>
      <c r="K16" s="6">
        <f t="shared" si="14"/>
        <v>4437.0436354707917</v>
      </c>
      <c r="L16" s="6">
        <f t="shared" si="14"/>
        <v>4525.7845081802079</v>
      </c>
    </row>
    <row r="17" spans="1:14" x14ac:dyDescent="0.35">
      <c r="A17" s="55" t="s">
        <v>15</v>
      </c>
      <c r="B17" s="24"/>
      <c r="C17" s="24"/>
      <c r="D17" s="28">
        <f>D16/D3</f>
        <v>0.23987317199430569</v>
      </c>
      <c r="E17" s="28">
        <f t="shared" ref="E17:G17" si="15">E16/E3</f>
        <v>0.2376479670612455</v>
      </c>
      <c r="F17" s="28">
        <f t="shared" si="15"/>
        <v>0.22647040081565029</v>
      </c>
      <c r="G17" s="28">
        <f t="shared" si="15"/>
        <v>0.2358691032724182</v>
      </c>
      <c r="H17" s="29">
        <f>AVERAGE($D$17:$G$17)</f>
        <v>0.2349651607859049</v>
      </c>
      <c r="I17" s="29">
        <f t="shared" ref="I17:L17" si="16">AVERAGE($D$17:$G$17)</f>
        <v>0.2349651607859049</v>
      </c>
      <c r="J17" s="29">
        <f t="shared" si="16"/>
        <v>0.2349651607859049</v>
      </c>
      <c r="K17" s="29">
        <f t="shared" si="16"/>
        <v>0.2349651607859049</v>
      </c>
      <c r="L17" s="29">
        <f t="shared" si="16"/>
        <v>0.2349651607859049</v>
      </c>
    </row>
    <row r="18" spans="1:14" x14ac:dyDescent="0.35">
      <c r="A18" s="1"/>
      <c r="D18" s="8"/>
      <c r="E18" s="8"/>
      <c r="F18" s="8"/>
      <c r="G18" s="8"/>
    </row>
    <row r="19" spans="1:14" x14ac:dyDescent="0.35">
      <c r="A19" s="1" t="s">
        <v>24</v>
      </c>
      <c r="D19" s="8">
        <f>'Debt Schedule'!D8</f>
        <v>102</v>
      </c>
      <c r="E19" s="8">
        <f>'Debt Schedule'!E8</f>
        <v>143</v>
      </c>
      <c r="F19" s="8">
        <f>'Debt Schedule'!F8</f>
        <v>145</v>
      </c>
      <c r="G19" s="8">
        <f>'Debt Schedule'!G8</f>
        <v>164</v>
      </c>
      <c r="H19" s="6">
        <f>'Debt Schedule'!H8</f>
        <v>158.85867210398879</v>
      </c>
      <c r="I19" s="6">
        <f>'Debt Schedule'!I8</f>
        <v>145.67095705365108</v>
      </c>
      <c r="J19" s="6">
        <f>'Debt Schedule'!J8</f>
        <v>137.03937810628267</v>
      </c>
      <c r="K19" s="6">
        <f>'Debt Schedule'!K8</f>
        <v>118.31324072894101</v>
      </c>
      <c r="L19" s="6">
        <f>'Debt Schedule'!L8</f>
        <v>107.90518669555244</v>
      </c>
    </row>
    <row r="20" spans="1:14" x14ac:dyDescent="0.35">
      <c r="A20" s="1"/>
      <c r="D20" s="8"/>
      <c r="E20" s="8"/>
      <c r="F20" s="8"/>
      <c r="G20" s="8"/>
    </row>
    <row r="21" spans="1:14" x14ac:dyDescent="0.35">
      <c r="A21" s="1" t="s">
        <v>2</v>
      </c>
      <c r="D21" s="9">
        <f>D23/D22</f>
        <v>0.3765414396329223</v>
      </c>
      <c r="E21" s="9">
        <f t="shared" ref="E21:G21" si="17">E23/E22</f>
        <v>0.3790415704387991</v>
      </c>
      <c r="F21" s="9">
        <f t="shared" si="17"/>
        <v>0.27446228415631629</v>
      </c>
      <c r="G21" s="9">
        <f t="shared" si="17"/>
        <v>0.21579380312585686</v>
      </c>
      <c r="H21" s="5">
        <f>G21+$M$21</f>
        <v>0.2266350425006855</v>
      </c>
      <c r="I21" s="5">
        <f t="shared" ref="I21:K21" si="18">H21+$M$21</f>
        <v>0.23747628187551414</v>
      </c>
      <c r="J21" s="5">
        <f t="shared" si="18"/>
        <v>0.24831752125034279</v>
      </c>
      <c r="K21" s="5">
        <f t="shared" si="18"/>
        <v>0.2591587606251714</v>
      </c>
      <c r="L21" s="4">
        <v>0.27</v>
      </c>
      <c r="M21" s="29">
        <f>(-G21+L21)/5</f>
        <v>1.0841239374828632E-2</v>
      </c>
      <c r="N21" s="5"/>
    </row>
    <row r="22" spans="1:14" x14ac:dyDescent="0.35">
      <c r="A22" t="s">
        <v>3</v>
      </c>
      <c r="D22" s="8">
        <v>3487</v>
      </c>
      <c r="E22" s="8">
        <v>3464</v>
      </c>
      <c r="F22" s="8">
        <v>3301</v>
      </c>
      <c r="G22" s="8">
        <v>3647</v>
      </c>
      <c r="H22" s="6">
        <f>H16-H19</f>
        <v>3880.2253966988837</v>
      </c>
      <c r="I22" s="6">
        <f t="shared" ref="I22:L22" si="19">I16-I19</f>
        <v>4045.8713551476144</v>
      </c>
      <c r="J22" s="6">
        <f t="shared" si="19"/>
        <v>4187.9218119144889</v>
      </c>
      <c r="K22" s="6">
        <f t="shared" si="19"/>
        <v>4318.7303947418504</v>
      </c>
      <c r="L22" s="6">
        <f t="shared" si="19"/>
        <v>4417.8793214846555</v>
      </c>
    </row>
    <row r="23" spans="1:14" x14ac:dyDescent="0.35">
      <c r="A23" t="s">
        <v>4</v>
      </c>
      <c r="D23" s="8">
        <v>1313</v>
      </c>
      <c r="E23" s="8">
        <v>1313</v>
      </c>
      <c r="F23" s="8">
        <v>906</v>
      </c>
      <c r="G23" s="8">
        <v>787</v>
      </c>
      <c r="H23" s="6">
        <f>H22*H21</f>
        <v>879.39504769309076</v>
      </c>
      <c r="I23" s="6">
        <f t="shared" ref="I23:L23" si="20">I22*I21</f>
        <v>960.79848636710324</v>
      </c>
      <c r="J23" s="6">
        <f t="shared" si="20"/>
        <v>1039.9343635248501</v>
      </c>
      <c r="K23" s="6">
        <f t="shared" si="20"/>
        <v>1119.2368165755552</v>
      </c>
      <c r="L23" s="6">
        <f t="shared" si="20"/>
        <v>1192.827416800857</v>
      </c>
    </row>
    <row r="24" spans="1:14" x14ac:dyDescent="0.35">
      <c r="A24" s="1"/>
      <c r="D24" s="8"/>
      <c r="E24" s="8"/>
      <c r="F24" s="8"/>
      <c r="G24" s="8"/>
    </row>
    <row r="25" spans="1:14" x14ac:dyDescent="0.35">
      <c r="A25" s="1"/>
      <c r="D25" s="8"/>
      <c r="E25" s="8"/>
      <c r="F25" s="8"/>
      <c r="G25" s="8"/>
      <c r="H25" s="6"/>
      <c r="I25" s="6"/>
      <c r="J25" s="6"/>
      <c r="K25" s="6"/>
      <c r="L25" s="6"/>
    </row>
    <row r="26" spans="1:14" x14ac:dyDescent="0.35">
      <c r="D26" s="33"/>
      <c r="E26" s="33"/>
      <c r="F26" s="33"/>
      <c r="G26" s="33"/>
      <c r="H26" s="34"/>
      <c r="I26" s="34"/>
      <c r="J26" s="34"/>
      <c r="K26" s="34"/>
      <c r="L26" s="34"/>
    </row>
    <row r="27" spans="1:14" x14ac:dyDescent="0.35">
      <c r="A27" s="1"/>
      <c r="D27" s="8"/>
      <c r="E27" s="8"/>
      <c r="F27" s="8"/>
      <c r="G27" s="8"/>
    </row>
    <row r="28" spans="1:14" x14ac:dyDescent="0.35">
      <c r="A28" s="1"/>
      <c r="D28" s="8"/>
      <c r="E28" s="8"/>
      <c r="F28" s="8"/>
      <c r="G28" s="8"/>
      <c r="H28" s="15"/>
      <c r="I28" s="15"/>
      <c r="J28" s="15"/>
      <c r="K28" s="15"/>
      <c r="L28" s="15"/>
    </row>
    <row r="29" spans="1:14" x14ac:dyDescent="0.35">
      <c r="D29" s="33"/>
      <c r="E29" s="33"/>
      <c r="F29" s="33"/>
      <c r="G29" s="33"/>
      <c r="H29" s="34"/>
      <c r="I29" s="34"/>
      <c r="J29" s="34"/>
      <c r="K29" s="34"/>
      <c r="L29" s="34"/>
      <c r="N29" s="14"/>
    </row>
    <row r="30" spans="1:14" x14ac:dyDescent="0.35">
      <c r="A30" s="1"/>
      <c r="D30" s="8"/>
      <c r="E30" s="8"/>
      <c r="F30" s="8"/>
      <c r="G30" s="8"/>
    </row>
    <row r="31" spans="1:14" x14ac:dyDescent="0.35">
      <c r="A31" s="1"/>
      <c r="D31" s="8"/>
      <c r="E31" s="8"/>
      <c r="F31" s="8"/>
      <c r="G31" s="8"/>
      <c r="H31" s="15"/>
      <c r="I31" s="15"/>
      <c r="J31" s="15"/>
      <c r="K31" s="15"/>
      <c r="L31" s="15"/>
    </row>
    <row r="32" spans="1:14" x14ac:dyDescent="0.35">
      <c r="D32" s="9"/>
      <c r="E32" s="9"/>
      <c r="F32" s="9"/>
      <c r="G32" s="9"/>
      <c r="H32" s="3"/>
      <c r="I32" s="3"/>
      <c r="J32" s="3"/>
      <c r="K32" s="3"/>
      <c r="L32" s="3"/>
    </row>
    <row r="33" spans="1:12" x14ac:dyDescent="0.35">
      <c r="A33" s="1"/>
      <c r="D33" s="8"/>
      <c r="E33" s="8"/>
      <c r="F33" s="8"/>
      <c r="G33" s="8"/>
    </row>
    <row r="34" spans="1:12" x14ac:dyDescent="0.35">
      <c r="A34" s="1"/>
      <c r="D34" s="8"/>
      <c r="E34" s="8"/>
      <c r="F34" s="8"/>
      <c r="G34" s="8"/>
      <c r="H34" s="17"/>
      <c r="I34" s="17"/>
      <c r="J34" s="17"/>
      <c r="K34" s="17"/>
      <c r="L34" s="17"/>
    </row>
    <row r="35" spans="1:12" x14ac:dyDescent="0.35">
      <c r="D35" s="33"/>
      <c r="E35" s="33"/>
      <c r="F35" s="33"/>
      <c r="G35" s="33"/>
      <c r="H35" s="34"/>
      <c r="I35" s="34"/>
      <c r="J35" s="34"/>
      <c r="K35" s="34"/>
      <c r="L35" s="34"/>
    </row>
    <row r="36" spans="1:12" x14ac:dyDescent="0.35">
      <c r="A36" s="1"/>
      <c r="D36" s="8"/>
      <c r="E36" s="8"/>
      <c r="F36" s="8"/>
      <c r="G36" s="8"/>
    </row>
    <row r="37" spans="1:12" x14ac:dyDescent="0.35">
      <c r="A37" s="1"/>
      <c r="D37" s="8"/>
      <c r="E37" s="8"/>
      <c r="F37" s="8"/>
      <c r="G37" s="8"/>
    </row>
    <row r="38" spans="1:12" x14ac:dyDescent="0.35">
      <c r="D38" s="8"/>
      <c r="E38" s="8"/>
      <c r="F38" s="8"/>
      <c r="G38" s="8"/>
      <c r="H38" s="15"/>
      <c r="I38" s="15"/>
      <c r="J38" s="15"/>
      <c r="K38" s="15"/>
      <c r="L38" s="15"/>
    </row>
    <row r="39" spans="1:12" x14ac:dyDescent="0.35">
      <c r="D39" s="10"/>
      <c r="E39" s="10"/>
      <c r="F39" s="10"/>
      <c r="G39" s="10"/>
      <c r="H39" s="4"/>
      <c r="I39" s="4"/>
      <c r="J39" s="4"/>
      <c r="K39" s="4"/>
      <c r="L39" s="4"/>
    </row>
    <row r="40" spans="1:12" x14ac:dyDescent="0.35">
      <c r="D40" s="10"/>
      <c r="E40" s="10"/>
      <c r="F40" s="10"/>
      <c r="G40" s="10"/>
    </row>
    <row r="41" spans="1:12" x14ac:dyDescent="0.35">
      <c r="D41" s="8"/>
      <c r="E41" s="8"/>
      <c r="F41" s="8"/>
      <c r="G41" s="8"/>
      <c r="H41" s="17"/>
      <c r="I41" s="17"/>
      <c r="J41" s="17"/>
      <c r="K41" s="17"/>
      <c r="L41" s="17"/>
    </row>
    <row r="42" spans="1:12" x14ac:dyDescent="0.35">
      <c r="D42" s="10"/>
      <c r="E42" s="10"/>
      <c r="F42" s="10"/>
      <c r="G42" s="10"/>
      <c r="H42" s="2"/>
      <c r="I42" s="2"/>
      <c r="J42" s="2"/>
      <c r="K42" s="2"/>
      <c r="L42" s="2"/>
    </row>
    <row r="43" spans="1:12" x14ac:dyDescent="0.35">
      <c r="D43" s="8"/>
      <c r="E43" s="8"/>
      <c r="F43" s="8"/>
      <c r="G43" s="8"/>
    </row>
    <row r="44" spans="1:12" x14ac:dyDescent="0.35">
      <c r="D44" s="8"/>
      <c r="E44" s="8"/>
      <c r="F44" s="8"/>
      <c r="G44" s="8"/>
    </row>
    <row r="48" spans="1:12" x14ac:dyDescent="0.35">
      <c r="H48" s="31"/>
      <c r="I48" s="31"/>
      <c r="J48" s="31"/>
      <c r="K48" s="31"/>
      <c r="L48" s="31"/>
    </row>
    <row r="49" spans="1:14" x14ac:dyDescent="0.35">
      <c r="D49" s="8"/>
      <c r="E49" s="8"/>
      <c r="F49" s="8"/>
      <c r="G49" s="8"/>
    </row>
    <row r="50" spans="1:14" x14ac:dyDescent="0.35">
      <c r="H50" s="6"/>
      <c r="I50" s="6"/>
      <c r="J50" s="6"/>
      <c r="K50" s="6"/>
      <c r="L50" s="6"/>
    </row>
    <row r="51" spans="1:14" x14ac:dyDescent="0.35">
      <c r="H51" s="3"/>
      <c r="I51" s="3"/>
      <c r="J51" s="3"/>
      <c r="K51" s="3"/>
      <c r="L51" s="3"/>
      <c r="M51" s="19">
        <v>2.3E-2</v>
      </c>
      <c r="N51" s="20">
        <f>(-'Debt Schedule'!G9+M51)/5</f>
        <v>4.2005862112909353E-4</v>
      </c>
    </row>
    <row r="52" spans="1:14" x14ac:dyDescent="0.35">
      <c r="D52" s="8"/>
      <c r="E52" s="8"/>
      <c r="F52" s="8"/>
      <c r="G52" s="8"/>
    </row>
    <row r="53" spans="1:14" x14ac:dyDescent="0.35">
      <c r="A53" s="1" t="s">
        <v>26</v>
      </c>
    </row>
    <row r="54" spans="1:14" x14ac:dyDescent="0.35">
      <c r="A54" t="s">
        <v>28</v>
      </c>
      <c r="D54" s="8">
        <f t="shared" ref="D54:G54" si="21">C58</f>
        <v>3840</v>
      </c>
      <c r="E54" s="8">
        <f t="shared" si="21"/>
        <v>4072</v>
      </c>
      <c r="F54" s="8">
        <f t="shared" si="21"/>
        <v>3881</v>
      </c>
      <c r="G54" s="8">
        <f t="shared" si="21"/>
        <v>3750</v>
      </c>
      <c r="H54" s="6"/>
      <c r="I54" s="6"/>
      <c r="J54" s="6"/>
      <c r="K54" s="6"/>
      <c r="L54" s="6"/>
    </row>
    <row r="55" spans="1:14" x14ac:dyDescent="0.35">
      <c r="A55" t="s">
        <v>31</v>
      </c>
      <c r="D55" s="8">
        <f>D56-D54</f>
        <v>672</v>
      </c>
      <c r="E55" s="8">
        <f t="shared" ref="E55:G55" si="22">E56-E54</f>
        <v>261</v>
      </c>
      <c r="F55" s="8">
        <f t="shared" si="22"/>
        <v>326</v>
      </c>
      <c r="G55" s="11">
        <f t="shared" si="22"/>
        <v>471</v>
      </c>
      <c r="H55" s="6"/>
      <c r="I55" s="6"/>
      <c r="J55" s="6"/>
      <c r="K55" s="6"/>
      <c r="L55" s="6"/>
    </row>
    <row r="56" spans="1:14" x14ac:dyDescent="0.35">
      <c r="A56" s="31" t="s">
        <v>32</v>
      </c>
      <c r="B56" s="31"/>
      <c r="C56" s="31"/>
      <c r="D56" s="35">
        <f>D57+D58</f>
        <v>4512</v>
      </c>
      <c r="E56" s="35">
        <f t="shared" ref="E56:G56" si="23">E57+E58</f>
        <v>4333</v>
      </c>
      <c r="F56" s="35">
        <f t="shared" si="23"/>
        <v>4207</v>
      </c>
      <c r="G56" s="35">
        <f t="shared" si="23"/>
        <v>4221</v>
      </c>
      <c r="H56" s="36"/>
      <c r="I56" s="36"/>
      <c r="J56" s="36"/>
      <c r="K56" s="36"/>
      <c r="L56" s="36"/>
    </row>
    <row r="57" spans="1:14" x14ac:dyDescent="0.35">
      <c r="A57" t="s">
        <v>30</v>
      </c>
      <c r="D57" s="8">
        <f>D14</f>
        <v>440</v>
      </c>
      <c r="E57" s="8">
        <f>E14</f>
        <v>452</v>
      </c>
      <c r="F57" s="8">
        <f>F14</f>
        <v>457</v>
      </c>
      <c r="G57" s="8">
        <f>G14</f>
        <v>505</v>
      </c>
      <c r="H57" s="17"/>
      <c r="I57" s="17"/>
      <c r="J57" s="17"/>
      <c r="K57" s="17"/>
      <c r="L57" s="17"/>
    </row>
    <row r="58" spans="1:14" s="1" customFormat="1" x14ac:dyDescent="0.35">
      <c r="A58" s="31" t="s">
        <v>29</v>
      </c>
      <c r="B58" s="31"/>
      <c r="C58" s="31">
        <v>3840</v>
      </c>
      <c r="D58" s="35">
        <v>4072</v>
      </c>
      <c r="E58" s="35">
        <v>3881</v>
      </c>
      <c r="F58" s="35">
        <v>3750</v>
      </c>
      <c r="G58" s="35">
        <f>3716</f>
        <v>3716</v>
      </c>
      <c r="H58" s="36"/>
      <c r="I58" s="36"/>
      <c r="J58" s="36"/>
      <c r="K58" s="36"/>
      <c r="L58" s="36"/>
    </row>
    <row r="59" spans="1:14" x14ac:dyDescent="0.35">
      <c r="D59" s="8"/>
      <c r="E59" s="8"/>
      <c r="F59" s="8"/>
      <c r="G59" s="8"/>
    </row>
    <row r="60" spans="1:14" x14ac:dyDescent="0.35">
      <c r="A60" s="1" t="s">
        <v>39</v>
      </c>
      <c r="D60" s="10">
        <f>D57/D56</f>
        <v>9.7517730496453903E-2</v>
      </c>
      <c r="E60" s="10">
        <f t="shared" ref="E60:G60" si="24">E57/E56</f>
        <v>0.10431571659358412</v>
      </c>
      <c r="F60" s="10">
        <f t="shared" si="24"/>
        <v>0.10862847634894224</v>
      </c>
      <c r="G60" s="10">
        <f t="shared" si="24"/>
        <v>0.11963989575929874</v>
      </c>
      <c r="H60" s="2"/>
      <c r="I60" s="2"/>
      <c r="J60" s="2"/>
      <c r="K60" s="2"/>
      <c r="L60" s="2"/>
    </row>
    <row r="61" spans="1:14" x14ac:dyDescent="0.35">
      <c r="A61" s="1"/>
      <c r="D61" s="10"/>
      <c r="E61" s="10"/>
      <c r="F61" s="10"/>
      <c r="G61" s="10"/>
      <c r="H61" s="2"/>
      <c r="I61" s="2"/>
      <c r="J61" s="2"/>
      <c r="K61" s="2"/>
      <c r="L61" s="2"/>
    </row>
    <row r="62" spans="1:14" x14ac:dyDescent="0.35">
      <c r="A62" s="1" t="s">
        <v>41</v>
      </c>
      <c r="D62" s="12">
        <f>D3/D56</f>
        <v>3.4250886524822697</v>
      </c>
      <c r="E62" s="12">
        <f>E3/E56</f>
        <v>3.5873528732979461</v>
      </c>
      <c r="F62" s="12">
        <f>F3/F56</f>
        <v>3.7302115521749464</v>
      </c>
      <c r="G62" s="12">
        <f>G3/G56</f>
        <v>3.902155887230514</v>
      </c>
      <c r="H62" s="14"/>
      <c r="I62" s="14"/>
      <c r="J62" s="14"/>
      <c r="K62" s="14"/>
      <c r="L62" s="14"/>
    </row>
    <row r="63" spans="1:14" x14ac:dyDescent="0.35">
      <c r="A63" s="1"/>
      <c r="D63" s="8"/>
      <c r="E63" s="8"/>
      <c r="F63" s="8"/>
      <c r="G63" s="8"/>
    </row>
    <row r="64" spans="1:14" x14ac:dyDescent="0.35">
      <c r="A64" s="1" t="s">
        <v>42</v>
      </c>
      <c r="D64" s="8"/>
      <c r="E64" s="8"/>
      <c r="F64" s="8"/>
      <c r="G64" s="8"/>
    </row>
    <row r="65" spans="1:12" x14ac:dyDescent="0.35">
      <c r="A65" t="s">
        <v>28</v>
      </c>
      <c r="D65" s="8">
        <f t="shared" ref="D65:F65" si="25">C69</f>
        <v>1313</v>
      </c>
      <c r="E65" s="8">
        <f t="shared" si="25"/>
        <v>1341</v>
      </c>
      <c r="F65" s="8">
        <f t="shared" si="25"/>
        <v>1637</v>
      </c>
      <c r="G65" s="8">
        <f>F69</f>
        <v>2997</v>
      </c>
      <c r="H65" s="15"/>
      <c r="I65" s="15"/>
      <c r="J65" s="15"/>
      <c r="K65" s="15"/>
      <c r="L65" s="15"/>
    </row>
    <row r="66" spans="1:12" x14ac:dyDescent="0.35">
      <c r="A66" t="s">
        <v>31</v>
      </c>
      <c r="D66" s="8">
        <f>D67-D65</f>
        <v>63</v>
      </c>
      <c r="E66" s="8">
        <f t="shared" ref="E66:G66" si="26">E67-E65</f>
        <v>355</v>
      </c>
      <c r="F66" s="8">
        <f t="shared" si="26"/>
        <v>1422</v>
      </c>
      <c r="G66" s="8">
        <f t="shared" si="26"/>
        <v>-15</v>
      </c>
      <c r="H66" s="15"/>
      <c r="I66" s="15"/>
      <c r="J66" s="15"/>
      <c r="K66" s="15"/>
      <c r="L66" s="15"/>
    </row>
    <row r="67" spans="1:12" s="1" customFormat="1" x14ac:dyDescent="0.35">
      <c r="A67" s="31" t="s">
        <v>32</v>
      </c>
      <c r="B67" s="31"/>
      <c r="C67" s="31"/>
      <c r="D67" s="35">
        <f>D69+D68</f>
        <v>1376</v>
      </c>
      <c r="E67" s="35">
        <f t="shared" ref="E67:G67" si="27">E69+E68</f>
        <v>1696</v>
      </c>
      <c r="F67" s="35">
        <f t="shared" si="27"/>
        <v>3059</v>
      </c>
      <c r="G67" s="35">
        <f t="shared" si="27"/>
        <v>2982</v>
      </c>
      <c r="H67" s="37"/>
      <c r="I67" s="37"/>
      <c r="J67" s="37"/>
      <c r="K67" s="37"/>
      <c r="L67" s="37"/>
    </row>
    <row r="68" spans="1:12" x14ac:dyDescent="0.35">
      <c r="A68" t="s">
        <v>36</v>
      </c>
      <c r="D68" s="8">
        <f>D13</f>
        <v>35</v>
      </c>
      <c r="E68" s="8">
        <f>E13</f>
        <v>59</v>
      </c>
      <c r="F68" s="8">
        <f>F13</f>
        <v>62</v>
      </c>
      <c r="G68" s="8">
        <f>G13</f>
        <v>88</v>
      </c>
      <c r="H68" s="40"/>
      <c r="I68" s="40"/>
      <c r="J68" s="40"/>
      <c r="K68" s="40"/>
      <c r="L68" s="40"/>
    </row>
    <row r="69" spans="1:12" s="1" customFormat="1" x14ac:dyDescent="0.35">
      <c r="A69" s="31" t="s">
        <v>29</v>
      </c>
      <c r="B69" s="31"/>
      <c r="C69" s="31">
        <v>1313</v>
      </c>
      <c r="D69" s="35">
        <v>1341</v>
      </c>
      <c r="E69" s="35">
        <v>1637</v>
      </c>
      <c r="F69" s="35">
        <v>2997</v>
      </c>
      <c r="G69" s="35">
        <v>2894</v>
      </c>
      <c r="H69" s="37"/>
      <c r="I69" s="37"/>
      <c r="J69" s="37"/>
      <c r="K69" s="37"/>
      <c r="L69" s="37"/>
    </row>
    <row r="70" spans="1:12" s="1" customFormat="1" x14ac:dyDescent="0.35">
      <c r="D70" s="7"/>
      <c r="E70" s="7"/>
      <c r="F70" s="7"/>
      <c r="G70" s="7"/>
    </row>
    <row r="71" spans="1:12" x14ac:dyDescent="0.35">
      <c r="A71" s="1" t="s">
        <v>40</v>
      </c>
      <c r="D71" s="10">
        <f>D68/D67</f>
        <v>2.5436046511627907E-2</v>
      </c>
      <c r="E71" s="10">
        <f t="shared" ref="E71:G71" si="28">E68/E67</f>
        <v>3.4787735849056603E-2</v>
      </c>
      <c r="F71" s="10">
        <f t="shared" si="28"/>
        <v>2.0268061457992807E-2</v>
      </c>
      <c r="G71" s="10">
        <f t="shared" si="28"/>
        <v>2.9510395707578806E-2</v>
      </c>
      <c r="H71" s="2"/>
      <c r="I71" s="2"/>
      <c r="J71" s="2"/>
      <c r="K71" s="2"/>
      <c r="L71" s="2"/>
    </row>
    <row r="72" spans="1:12" x14ac:dyDescent="0.35">
      <c r="A72" s="1"/>
      <c r="D72" s="8"/>
      <c r="E72" s="8"/>
      <c r="F72" s="8"/>
      <c r="G72" s="8"/>
    </row>
    <row r="73" spans="1:12" x14ac:dyDescent="0.35">
      <c r="A73" s="1" t="s">
        <v>27</v>
      </c>
      <c r="D73" s="8"/>
      <c r="E73" s="8"/>
      <c r="F73" s="8"/>
      <c r="G73" s="8"/>
    </row>
    <row r="74" spans="1:12" x14ac:dyDescent="0.35">
      <c r="A74" t="s">
        <v>5</v>
      </c>
      <c r="D74" s="8">
        <f>D25</f>
        <v>0</v>
      </c>
      <c r="E74" s="8">
        <f t="shared" ref="E74:G74" si="29">E25</f>
        <v>0</v>
      </c>
      <c r="F74" s="8">
        <f t="shared" si="29"/>
        <v>0</v>
      </c>
      <c r="G74" s="8">
        <f t="shared" si="29"/>
        <v>0</v>
      </c>
      <c r="H74" s="6"/>
      <c r="I74" s="6"/>
      <c r="J74" s="6"/>
      <c r="K74" s="6"/>
      <c r="L74" s="6"/>
    </row>
    <row r="75" spans="1:12" x14ac:dyDescent="0.35">
      <c r="A75" t="s">
        <v>6</v>
      </c>
      <c r="D75" s="8">
        <f>D28</f>
        <v>0</v>
      </c>
      <c r="E75" s="8">
        <f t="shared" ref="E75:G75" si="30">E28</f>
        <v>0</v>
      </c>
      <c r="F75" s="8">
        <f t="shared" si="30"/>
        <v>0</v>
      </c>
      <c r="G75" s="8">
        <f t="shared" si="30"/>
        <v>0</v>
      </c>
      <c r="H75" s="6"/>
      <c r="I75" s="6"/>
      <c r="J75" s="6"/>
      <c r="K75" s="6"/>
      <c r="L75" s="6"/>
    </row>
    <row r="76" spans="1:12" x14ac:dyDescent="0.35">
      <c r="A76" t="s">
        <v>7</v>
      </c>
      <c r="D76" s="8">
        <f>D31</f>
        <v>0</v>
      </c>
      <c r="E76" s="8">
        <f t="shared" ref="E76:G76" si="31">E31</f>
        <v>0</v>
      </c>
      <c r="F76" s="8">
        <f t="shared" si="31"/>
        <v>0</v>
      </c>
      <c r="G76" s="8">
        <f t="shared" si="31"/>
        <v>0</v>
      </c>
      <c r="H76" s="6"/>
      <c r="I76" s="6"/>
      <c r="J76" s="6"/>
      <c r="K76" s="6"/>
      <c r="L76" s="6"/>
    </row>
    <row r="77" spans="1:12" x14ac:dyDescent="0.35">
      <c r="A77" t="s">
        <v>8</v>
      </c>
      <c r="D77" s="8">
        <f>-D34</f>
        <v>0</v>
      </c>
      <c r="E77" s="8">
        <f t="shared" ref="E77:G77" si="32">-E34</f>
        <v>0</v>
      </c>
      <c r="F77" s="8">
        <f t="shared" si="32"/>
        <v>0</v>
      </c>
      <c r="G77" s="8">
        <f t="shared" si="32"/>
        <v>0</v>
      </c>
      <c r="H77" s="6"/>
      <c r="I77" s="6"/>
      <c r="J77" s="6"/>
      <c r="K77" s="6"/>
      <c r="L77" s="6"/>
    </row>
    <row r="78" spans="1:12" x14ac:dyDescent="0.35">
      <c r="A78" t="s">
        <v>10</v>
      </c>
      <c r="D78" s="8">
        <f>-D38</f>
        <v>0</v>
      </c>
      <c r="E78" s="8">
        <f t="shared" ref="E78:G78" si="33">-E38</f>
        <v>0</v>
      </c>
      <c r="F78" s="8">
        <f t="shared" si="33"/>
        <v>0</v>
      </c>
      <c r="G78" s="8">
        <f t="shared" si="33"/>
        <v>0</v>
      </c>
      <c r="H78" s="6"/>
      <c r="I78" s="6"/>
      <c r="J78" s="6"/>
      <c r="K78" s="6"/>
      <c r="L78" s="6"/>
    </row>
    <row r="79" spans="1:12" x14ac:dyDescent="0.35">
      <c r="A79" t="s">
        <v>11</v>
      </c>
      <c r="D79" s="8">
        <f>-D41</f>
        <v>0</v>
      </c>
      <c r="E79" s="8">
        <f t="shared" ref="E79:G79" si="34">-E41</f>
        <v>0</v>
      </c>
      <c r="F79" s="8">
        <f t="shared" si="34"/>
        <v>0</v>
      </c>
      <c r="G79" s="8">
        <f t="shared" si="34"/>
        <v>0</v>
      </c>
      <c r="H79" s="6"/>
      <c r="I79" s="6"/>
      <c r="J79" s="6"/>
      <c r="K79" s="6"/>
      <c r="L79" s="6"/>
    </row>
    <row r="80" spans="1:12" s="1" customFormat="1" x14ac:dyDescent="0.35">
      <c r="A80" s="31" t="s">
        <v>33</v>
      </c>
      <c r="B80" s="31"/>
      <c r="C80" s="31"/>
      <c r="D80" s="38">
        <f>SUM(D74:D79)</f>
        <v>0</v>
      </c>
      <c r="E80" s="38">
        <f t="shared" ref="E80:G80" si="35">SUM(E74:E79)</f>
        <v>0</v>
      </c>
      <c r="F80" s="38">
        <f t="shared" si="35"/>
        <v>0</v>
      </c>
      <c r="G80" s="38">
        <f t="shared" si="35"/>
        <v>0</v>
      </c>
      <c r="H80" s="39"/>
      <c r="I80" s="39"/>
      <c r="J80" s="39"/>
      <c r="K80" s="39"/>
      <c r="L80" s="39"/>
    </row>
    <row r="81" spans="1:12" s="1" customFormat="1" x14ac:dyDescent="0.35">
      <c r="A81" s="31" t="s">
        <v>34</v>
      </c>
      <c r="B81" s="31"/>
      <c r="C81" s="31"/>
      <c r="D81" s="35"/>
      <c r="E81" s="38">
        <f>-(E80-D80)</f>
        <v>0</v>
      </c>
      <c r="F81" s="38">
        <f t="shared" ref="F81:G81" si="36">-(F80-E80)</f>
        <v>0</v>
      </c>
      <c r="G81" s="38">
        <f t="shared" si="36"/>
        <v>0</v>
      </c>
      <c r="H81" s="39"/>
      <c r="I81" s="39"/>
      <c r="J81" s="39"/>
      <c r="K81" s="39"/>
      <c r="L81" s="39"/>
    </row>
    <row r="82" spans="1:12" x14ac:dyDescent="0.35">
      <c r="D82" s="8"/>
      <c r="E82" s="8"/>
      <c r="F82" s="8"/>
      <c r="G82" s="8"/>
    </row>
    <row r="83" spans="1:12" x14ac:dyDescent="0.35">
      <c r="D83" s="8"/>
      <c r="E83" s="8"/>
      <c r="F83" s="8"/>
      <c r="G83" s="8"/>
    </row>
    <row r="84" spans="1:12" x14ac:dyDescent="0.35">
      <c r="D84" s="8"/>
      <c r="E84" s="8"/>
      <c r="F84" s="8"/>
      <c r="G84" s="8"/>
    </row>
    <row r="85" spans="1:12" x14ac:dyDescent="0.35">
      <c r="D85" s="8"/>
      <c r="E85" s="8"/>
      <c r="F85" s="8"/>
      <c r="G85" s="8"/>
    </row>
    <row r="86" spans="1:12" x14ac:dyDescent="0.35">
      <c r="D86" s="8"/>
      <c r="E86" s="8"/>
      <c r="F86" s="8"/>
      <c r="G86" s="8"/>
    </row>
    <row r="87" spans="1:12" x14ac:dyDescent="0.35">
      <c r="D87" s="8"/>
      <c r="E87" s="8"/>
      <c r="F87" s="8"/>
      <c r="G87" s="8"/>
    </row>
  </sheetData>
  <mergeCells count="2">
    <mergeCell ref="D1:G1"/>
    <mergeCell ref="H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C6C4-D6F1-4D3E-9007-DE0A7E8D5EDC}">
  <dimension ref="A1:N31"/>
  <sheetViews>
    <sheetView showGridLines="0" topLeftCell="A10" workbookViewId="0">
      <selection activeCell="E21" sqref="E21"/>
    </sheetView>
  </sheetViews>
  <sheetFormatPr defaultRowHeight="14.5" x14ac:dyDescent="0.35"/>
  <sheetData>
    <row r="1" spans="1:12" x14ac:dyDescent="0.35">
      <c r="A1" s="1" t="s">
        <v>12</v>
      </c>
      <c r="D1" s="65" t="s">
        <v>13</v>
      </c>
      <c r="E1" s="65"/>
      <c r="F1" s="65"/>
      <c r="G1" s="65"/>
      <c r="H1" s="66" t="s">
        <v>14</v>
      </c>
      <c r="I1" s="66"/>
      <c r="J1" s="66"/>
      <c r="K1" s="66"/>
      <c r="L1" s="66"/>
    </row>
    <row r="2" spans="1:12" x14ac:dyDescent="0.35">
      <c r="D2" s="7">
        <v>2017</v>
      </c>
      <c r="E2" s="7">
        <f>D2+1</f>
        <v>2018</v>
      </c>
      <c r="F2" s="7">
        <f t="shared" ref="F2:G2" si="0">E2+1</f>
        <v>2019</v>
      </c>
      <c r="G2" s="7">
        <f t="shared" si="0"/>
        <v>2020</v>
      </c>
      <c r="H2" s="1">
        <f>G2+1</f>
        <v>2021</v>
      </c>
      <c r="I2" s="1">
        <f t="shared" ref="I2:L2" si="1">H2+1</f>
        <v>2022</v>
      </c>
      <c r="J2" s="1">
        <f t="shared" si="1"/>
        <v>2023</v>
      </c>
      <c r="K2" s="1">
        <f t="shared" si="1"/>
        <v>2024</v>
      </c>
      <c r="L2" s="1">
        <f t="shared" si="1"/>
        <v>2025</v>
      </c>
    </row>
    <row r="3" spans="1:12" x14ac:dyDescent="0.35">
      <c r="A3" s="54" t="s">
        <v>100</v>
      </c>
    </row>
    <row r="4" spans="1:12" x14ac:dyDescent="0.35">
      <c r="A4" t="s">
        <v>5</v>
      </c>
      <c r="D4" s="8">
        <v>1480</v>
      </c>
      <c r="E4" s="8">
        <v>1400</v>
      </c>
      <c r="F4" s="8">
        <v>1440</v>
      </c>
      <c r="G4" s="8">
        <v>1264</v>
      </c>
      <c r="H4" s="15">
        <f>'Income Statement'!H3/(365/H18)</f>
        <v>1319.1874981201809</v>
      </c>
      <c r="I4" s="15">
        <f>'Income Statement'!I3/(365/I18)</f>
        <v>1368.9812150249475</v>
      </c>
      <c r="J4" s="15">
        <f>'Income Statement'!J3/(365/J18)</f>
        <v>1412.556568405716</v>
      </c>
      <c r="K4" s="15">
        <f>'Income Statement'!K3/(365/K18)</f>
        <v>1449.1633233723753</v>
      </c>
      <c r="L4" s="15">
        <f>'Income Statement'!L3/(365/L18)</f>
        <v>1478.1465898398228</v>
      </c>
    </row>
    <row r="5" spans="1:12" x14ac:dyDescent="0.35">
      <c r="A5" t="s">
        <v>6</v>
      </c>
      <c r="D5" s="8">
        <v>1221</v>
      </c>
      <c r="E5" s="8">
        <v>1250</v>
      </c>
      <c r="F5" s="8">
        <v>1400</v>
      </c>
      <c r="G5" s="8">
        <v>1673</v>
      </c>
      <c r="H5" s="15">
        <f>'Income Statement'!H6/(365/'Working Capital Schedule'!H19)</f>
        <v>1786.0498576999812</v>
      </c>
      <c r="I5" s="15">
        <f>'Income Statement'!I6/(365/'Working Capital Schedule'!I19)</f>
        <v>1853.4656428850601</v>
      </c>
      <c r="J5" s="15">
        <f>'Income Statement'!J6/(365/'Working Capital Schedule'!J19)</f>
        <v>1912.4623767199785</v>
      </c>
      <c r="K5" s="15">
        <f>'Income Statement'!K6/(365/'Working Capital Schedule'!K19)</f>
        <v>1962.0243151041936</v>
      </c>
      <c r="L5" s="15">
        <f>'Income Statement'!L6/(365/'Working Capital Schedule'!L19)</f>
        <v>2001.2648014062779</v>
      </c>
    </row>
    <row r="6" spans="1:12" x14ac:dyDescent="0.35">
      <c r="A6" t="s">
        <v>7</v>
      </c>
      <c r="D6" s="8">
        <v>403</v>
      </c>
      <c r="E6" s="8">
        <v>417</v>
      </c>
      <c r="F6" s="8">
        <v>456</v>
      </c>
      <c r="G6" s="8">
        <v>513</v>
      </c>
      <c r="H6" s="15">
        <f>'Income Statement'!H3*H20</f>
        <v>486.08410908971183</v>
      </c>
      <c r="I6" s="15">
        <f>'Income Statement'!I3*I20</f>
        <v>504.4317166545265</v>
      </c>
      <c r="J6" s="15">
        <f>'Income Statement'!J3*J20</f>
        <v>520.4880292382519</v>
      </c>
      <c r="K6" s="15">
        <f>'Income Statement'!K3*K20</f>
        <v>533.97660603267263</v>
      </c>
      <c r="L6" s="15">
        <f>'Income Statement'!L3*L20</f>
        <v>544.6561381533262</v>
      </c>
    </row>
    <row r="7" spans="1:12" s="1" customFormat="1" x14ac:dyDescent="0.35">
      <c r="A7" s="31" t="s">
        <v>98</v>
      </c>
      <c r="B7" s="31"/>
      <c r="C7" s="31"/>
      <c r="D7" s="35">
        <f>SUM(D4:D6)</f>
        <v>3104</v>
      </c>
      <c r="E7" s="35">
        <f t="shared" ref="E7:G7" si="2">SUM(E4:E6)</f>
        <v>3067</v>
      </c>
      <c r="F7" s="35">
        <f t="shared" si="2"/>
        <v>3296</v>
      </c>
      <c r="G7" s="35">
        <f t="shared" si="2"/>
        <v>3450</v>
      </c>
      <c r="H7" s="37">
        <f t="shared" ref="H7" si="3">SUM(H4:H6)</f>
        <v>3591.3214649098741</v>
      </c>
      <c r="I7" s="37">
        <f t="shared" ref="I7" si="4">SUM(I4:I6)</f>
        <v>3726.8785745645341</v>
      </c>
      <c r="J7" s="37">
        <f t="shared" ref="J7" si="5">SUM(J4:J6)</f>
        <v>3845.5069743639465</v>
      </c>
      <c r="K7" s="37">
        <f t="shared" ref="K7" si="6">SUM(K4:K6)</f>
        <v>3945.1642445092421</v>
      </c>
      <c r="L7" s="37">
        <f t="shared" ref="L7" si="7">SUM(L4:L6)</f>
        <v>4024.0675293994268</v>
      </c>
    </row>
    <row r="8" spans="1:12" x14ac:dyDescent="0.35">
      <c r="D8" s="8"/>
      <c r="E8" s="8"/>
      <c r="F8" s="8"/>
      <c r="G8" s="8"/>
      <c r="H8" s="15"/>
      <c r="I8" s="15"/>
      <c r="J8" s="15"/>
      <c r="K8" s="15"/>
      <c r="L8" s="15"/>
    </row>
    <row r="9" spans="1:12" x14ac:dyDescent="0.35">
      <c r="A9" s="54" t="s">
        <v>97</v>
      </c>
      <c r="D9" s="8"/>
      <c r="E9" s="8"/>
      <c r="F9" s="8"/>
      <c r="G9" s="8"/>
      <c r="H9" s="15"/>
      <c r="I9" s="15"/>
      <c r="J9" s="15"/>
      <c r="K9" s="15"/>
      <c r="L9" s="15"/>
    </row>
    <row r="10" spans="1:12" x14ac:dyDescent="0.35">
      <c r="A10" t="s">
        <v>8</v>
      </c>
      <c r="D10" s="8">
        <v>1212</v>
      </c>
      <c r="E10" s="8">
        <v>1222</v>
      </c>
      <c r="F10" s="8">
        <v>1237</v>
      </c>
      <c r="G10" s="8">
        <v>1393</v>
      </c>
      <c r="H10" s="13">
        <f>'Income Statement'!H6/(365/'Working Capital Schedule'!H21)</f>
        <v>1415.7774707394244</v>
      </c>
      <c r="I10" s="13">
        <f>'Income Statement'!I6/(365/'Working Capital Schedule'!I21)</f>
        <v>1430.0379269791006</v>
      </c>
      <c r="J10" s="13">
        <f>'Income Statement'!J6/(365/'Working Capital Schedule'!J21)</f>
        <v>1435.1305336716136</v>
      </c>
      <c r="K10" s="13">
        <f>'Income Statement'!K6/(365/'Working Capital Schedule'!K21)</f>
        <v>1472.3222985653777</v>
      </c>
      <c r="L10" s="13">
        <f>'Income Statement'!L6/(365/'Working Capital Schedule'!L21)</f>
        <v>1501.7687445366855</v>
      </c>
    </row>
    <row r="11" spans="1:12" x14ac:dyDescent="0.35">
      <c r="A11" t="s">
        <v>10</v>
      </c>
      <c r="D11" s="8">
        <v>354</v>
      </c>
      <c r="E11" s="8">
        <v>411</v>
      </c>
      <c r="F11" s="8">
        <v>370</v>
      </c>
      <c r="G11" s="8">
        <v>403</v>
      </c>
      <c r="H11" s="15">
        <f>H22*'Income Statement'!H23</f>
        <v>404.72384089225648</v>
      </c>
      <c r="I11" s="15">
        <f>I22*'Income Statement'!I23</f>
        <v>442.18813233716548</v>
      </c>
      <c r="J11" s="15">
        <f>J22*'Income Statement'!J23</f>
        <v>478.60882431135883</v>
      </c>
      <c r="K11" s="15">
        <f>K22*'Income Statement'!K23</f>
        <v>515.10617948188803</v>
      </c>
      <c r="L11" s="15">
        <f>L22*'Income Statement'!L23</f>
        <v>548.97476954830063</v>
      </c>
    </row>
    <row r="12" spans="1:12" x14ac:dyDescent="0.35">
      <c r="A12" t="s">
        <v>11</v>
      </c>
      <c r="D12" s="8">
        <v>1831</v>
      </c>
      <c r="E12" s="8">
        <v>1696</v>
      </c>
      <c r="F12" s="8">
        <v>1917</v>
      </c>
      <c r="G12" s="8">
        <v>2341</v>
      </c>
      <c r="H12" s="15">
        <f>H23*'Income Statement'!H10</f>
        <v>2019.7728181195691</v>
      </c>
      <c r="I12" s="15">
        <f>I23*'Income Statement'!I10</f>
        <v>2097.848202570749</v>
      </c>
      <c r="J12" s="15">
        <f>J23*'Income Statement'!J10</f>
        <v>2166.2487612930358</v>
      </c>
      <c r="K12" s="15">
        <f>K23*'Income Statement'!K10</f>
        <v>2223.810398638258</v>
      </c>
      <c r="L12" s="15">
        <f>L23*'Income Statement'!L10</f>
        <v>2269.5170182538436</v>
      </c>
    </row>
    <row r="13" spans="1:12" s="1" customFormat="1" x14ac:dyDescent="0.35">
      <c r="A13" s="31" t="s">
        <v>99</v>
      </c>
      <c r="B13" s="31"/>
      <c r="C13" s="31"/>
      <c r="D13" s="35">
        <f>SUM(D10:D12)</f>
        <v>3397</v>
      </c>
      <c r="E13" s="35">
        <f t="shared" ref="E13:G13" si="8">SUM(E10:E12)</f>
        <v>3329</v>
      </c>
      <c r="F13" s="35">
        <f t="shared" si="8"/>
        <v>3524</v>
      </c>
      <c r="G13" s="35">
        <f t="shared" si="8"/>
        <v>4137</v>
      </c>
      <c r="H13" s="37">
        <f t="shared" ref="H13" si="9">SUM(H10:H12)</f>
        <v>3840.2741297512503</v>
      </c>
      <c r="I13" s="37">
        <f t="shared" ref="I13" si="10">SUM(I10:I12)</f>
        <v>3970.0742618870149</v>
      </c>
      <c r="J13" s="37">
        <f t="shared" ref="J13" si="11">SUM(J10:J12)</f>
        <v>4079.9881192760085</v>
      </c>
      <c r="K13" s="37">
        <f t="shared" ref="K13" si="12">SUM(K10:K12)</f>
        <v>4211.2388766855238</v>
      </c>
      <c r="L13" s="37">
        <f t="shared" ref="L13" si="13">SUM(L10:L12)</f>
        <v>4320.2605323388298</v>
      </c>
    </row>
    <row r="14" spans="1:12" s="1" customFormat="1" x14ac:dyDescent="0.35">
      <c r="D14" s="7"/>
      <c r="E14" s="7"/>
      <c r="F14" s="7"/>
      <c r="G14" s="7"/>
    </row>
    <row r="15" spans="1:12" x14ac:dyDescent="0.35">
      <c r="A15" s="31" t="s">
        <v>33</v>
      </c>
      <c r="B15" s="31"/>
      <c r="C15" s="31"/>
      <c r="D15" s="38">
        <f>D7-D13</f>
        <v>-293</v>
      </c>
      <c r="E15" s="38">
        <f t="shared" ref="E15:G15" si="14">E7-E13</f>
        <v>-262</v>
      </c>
      <c r="F15" s="38">
        <f t="shared" si="14"/>
        <v>-228</v>
      </c>
      <c r="G15" s="61">
        <f t="shared" si="14"/>
        <v>-687</v>
      </c>
      <c r="H15" s="58">
        <f t="shared" ref="H15:L15" si="15">H7-H13</f>
        <v>-248.95266484137619</v>
      </c>
      <c r="I15" s="58">
        <f t="shared" si="15"/>
        <v>-243.19568732248081</v>
      </c>
      <c r="J15" s="58">
        <f t="shared" si="15"/>
        <v>-234.48114491206206</v>
      </c>
      <c r="K15" s="58">
        <f t="shared" si="15"/>
        <v>-266.07463217628174</v>
      </c>
      <c r="L15" s="58">
        <f t="shared" si="15"/>
        <v>-296.19300293940296</v>
      </c>
    </row>
    <row r="16" spans="1:12" x14ac:dyDescent="0.35">
      <c r="A16" s="1" t="s">
        <v>34</v>
      </c>
      <c r="B16" s="1"/>
      <c r="C16" s="1"/>
      <c r="D16" s="7"/>
      <c r="E16" s="53">
        <f>-(E15-D15)</f>
        <v>-31</v>
      </c>
      <c r="F16" s="53">
        <f t="shared" ref="F16:G16" si="16">-(F15-E15)</f>
        <v>-34</v>
      </c>
      <c r="G16" s="62">
        <f t="shared" si="16"/>
        <v>459</v>
      </c>
      <c r="H16" s="15">
        <f t="shared" ref="H16" si="17">-(H15-G15)</f>
        <v>-438.04733515862381</v>
      </c>
      <c r="I16" s="15">
        <f t="shared" ref="I16" si="18">-(I15-H15)</f>
        <v>-5.7569775188953827</v>
      </c>
      <c r="J16" s="15">
        <f t="shared" ref="J16" si="19">-(J15-I15)</f>
        <v>-8.7145424104187441</v>
      </c>
      <c r="K16" s="15">
        <f t="shared" ref="K16" si="20">-(K15-J15)</f>
        <v>31.593487264219675</v>
      </c>
      <c r="L16" s="15">
        <f t="shared" ref="L16" si="21">-(L15-K15)</f>
        <v>30.11837076312122</v>
      </c>
    </row>
    <row r="17" spans="1:14" x14ac:dyDescent="0.35">
      <c r="D17" s="56"/>
      <c r="E17" s="56"/>
      <c r="F17" s="56"/>
      <c r="G17" s="56"/>
    </row>
    <row r="18" spans="1:14" x14ac:dyDescent="0.35">
      <c r="A18" t="s">
        <v>17</v>
      </c>
      <c r="D18" s="15">
        <f>365/('Income Statement'!D3/'Working Capital Schedule'!D4)</f>
        <v>34.95535136534231</v>
      </c>
      <c r="E18" s="15">
        <f>365/('Income Statement'!E3/'Working Capital Schedule'!E4)</f>
        <v>32.874420998455996</v>
      </c>
      <c r="F18" s="15">
        <f>365/('Income Statement'!F3/'Working Capital Schedule'!F4)</f>
        <v>33.492640030586884</v>
      </c>
      <c r="G18" s="15">
        <f>365/('Income Statement'!G3/'Working Capital Schedule'!G4)</f>
        <v>28.010442596077954</v>
      </c>
      <c r="H18" s="15">
        <f>G18</f>
        <v>28.010442596077954</v>
      </c>
      <c r="I18" s="15">
        <f t="shared" ref="I18:L18" si="22">H18</f>
        <v>28.010442596077954</v>
      </c>
      <c r="J18" s="15">
        <f t="shared" si="22"/>
        <v>28.010442596077954</v>
      </c>
      <c r="K18" s="15">
        <f t="shared" si="22"/>
        <v>28.010442596077954</v>
      </c>
      <c r="L18" s="15">
        <f t="shared" si="22"/>
        <v>28.010442596077954</v>
      </c>
      <c r="M18" s="15"/>
      <c r="N18" s="15"/>
    </row>
    <row r="19" spans="1:14" x14ac:dyDescent="0.35">
      <c r="A19" t="s">
        <v>18</v>
      </c>
      <c r="D19" s="15">
        <f>365/('Income Statement'!D6/'Working Capital Schedule'!D5)</f>
        <v>72.184159378036924</v>
      </c>
      <c r="E19" s="15">
        <f>365/('Income Statement'!E6/'Working Capital Schedule'!E5)</f>
        <v>72.271503247267546</v>
      </c>
      <c r="F19" s="15">
        <f>365/('Income Statement'!F6/'Working Capital Schedule'!F5)</f>
        <v>80.244974874371849</v>
      </c>
      <c r="G19" s="15">
        <f>365/('Income Statement'!G6/'Working Capital Schedule'!G5)</f>
        <v>94.614967462039047</v>
      </c>
      <c r="H19" s="15">
        <f>G19</f>
        <v>94.614967462039047</v>
      </c>
      <c r="I19" s="15">
        <f t="shared" ref="I19:L19" si="23">H19</f>
        <v>94.614967462039047</v>
      </c>
      <c r="J19" s="15">
        <f t="shared" si="23"/>
        <v>94.614967462039047</v>
      </c>
      <c r="K19" s="15">
        <f t="shared" si="23"/>
        <v>94.614967462039047</v>
      </c>
      <c r="L19" s="15">
        <f t="shared" si="23"/>
        <v>94.614967462039047</v>
      </c>
      <c r="M19" s="15"/>
      <c r="N19" s="15"/>
    </row>
    <row r="20" spans="1:14" x14ac:dyDescent="0.35">
      <c r="A20" t="s">
        <v>22</v>
      </c>
      <c r="D20" s="2">
        <f>'Working Capital Schedule'!D6/'Income Statement'!D3</f>
        <v>2.6077390966740003E-2</v>
      </c>
      <c r="E20" s="2">
        <f>'Working Capital Schedule'!E6/'Income Statement'!E3</f>
        <v>2.6827071538857435E-2</v>
      </c>
      <c r="F20" s="2">
        <f>'Working Capital Schedule'!F6/'Income Statement'!F3</f>
        <v>2.9057541579047982E-2</v>
      </c>
      <c r="G20" s="2">
        <f>'Working Capital Schedule'!G6/'Income Statement'!G3</f>
        <v>3.1145649930180316E-2</v>
      </c>
      <c r="H20" s="2">
        <f>AVERAGE($D$20:$G$20)</f>
        <v>2.8276913503706435E-2</v>
      </c>
      <c r="I20" s="2">
        <f t="shared" ref="I20:L20" si="24">AVERAGE($D$20:$G$20)</f>
        <v>2.8276913503706435E-2</v>
      </c>
      <c r="J20" s="2">
        <f t="shared" si="24"/>
        <v>2.8276913503706435E-2</v>
      </c>
      <c r="K20" s="2">
        <f t="shared" si="24"/>
        <v>2.8276913503706435E-2</v>
      </c>
      <c r="L20" s="2">
        <f t="shared" si="24"/>
        <v>2.8276913503706435E-2</v>
      </c>
      <c r="M20" s="15"/>
      <c r="N20" s="15"/>
    </row>
    <row r="21" spans="1:14" x14ac:dyDescent="0.35">
      <c r="A21" t="s">
        <v>23</v>
      </c>
      <c r="D21" s="15">
        <f>365/('Income Statement'!D6/'Working Capital Schedule'!D10)</f>
        <v>71.652089407191454</v>
      </c>
      <c r="E21" s="15">
        <f>365/('Income Statement'!E6/'Working Capital Schedule'!E10)</f>
        <v>70.652621574528752</v>
      </c>
      <c r="F21" s="15">
        <f>365/('Income Statement'!F6/'Working Capital Schedule'!F10)</f>
        <v>70.902167085427138</v>
      </c>
      <c r="G21" s="15">
        <f>365/('Income Statement'!G6/'Working Capital Schedule'!G10)</f>
        <v>78.779826464208242</v>
      </c>
      <c r="H21" s="15">
        <v>75</v>
      </c>
      <c r="I21" s="15">
        <v>73</v>
      </c>
      <c r="J21" s="15">
        <v>71</v>
      </c>
      <c r="K21" s="15">
        <f t="shared" ref="K21" si="25">J21</f>
        <v>71</v>
      </c>
      <c r="L21" s="15">
        <v>71</v>
      </c>
      <c r="M21" s="15"/>
      <c r="N21" s="15"/>
    </row>
    <row r="22" spans="1:14" x14ac:dyDescent="0.35">
      <c r="A22" t="s">
        <v>104</v>
      </c>
      <c r="D22" s="2">
        <f>D11/'Income Statement'!D23</f>
        <v>0.26961157654226964</v>
      </c>
      <c r="E22" s="2">
        <f>E11/'Income Statement'!E23</f>
        <v>0.31302361005331303</v>
      </c>
      <c r="F22" s="2">
        <f>F11/'Income Statement'!F23</f>
        <v>0.4083885209713024</v>
      </c>
      <c r="G22" s="2">
        <f>G11/'Income Statement'!G23</f>
        <v>0.51207115628970779</v>
      </c>
      <c r="H22" s="2">
        <f>AVERAGE($F$22:$G$22)</f>
        <v>0.46022983863050509</v>
      </c>
      <c r="I22" s="2">
        <f t="shared" ref="I22:L22" si="26">AVERAGE($F$22:$G$22)</f>
        <v>0.46022983863050509</v>
      </c>
      <c r="J22" s="2">
        <f t="shared" si="26"/>
        <v>0.46022983863050509</v>
      </c>
      <c r="K22" s="2">
        <f t="shared" si="26"/>
        <v>0.46022983863050509</v>
      </c>
      <c r="L22" s="2">
        <f t="shared" si="26"/>
        <v>0.46022983863050509</v>
      </c>
      <c r="M22" s="15"/>
      <c r="N22" s="15"/>
    </row>
    <row r="23" spans="1:14" x14ac:dyDescent="0.35">
      <c r="A23" t="s">
        <v>105</v>
      </c>
      <c r="D23" s="47">
        <f>D12/'Income Statement'!D10</f>
        <v>0.35916045508042371</v>
      </c>
      <c r="E23" s="47">
        <f>E12/'Income Statement'!E10</f>
        <v>0.33744528452049344</v>
      </c>
      <c r="F23" s="47">
        <f>F12/'Income Statement'!F10</f>
        <v>0.365003808073115</v>
      </c>
      <c r="G23" s="47">
        <f>G12/'Income Statement'!G10</f>
        <v>0.42263946560751037</v>
      </c>
      <c r="H23" s="2">
        <f>AVERAGE($D$23:$F$23)</f>
        <v>0.3538698492246774</v>
      </c>
      <c r="I23" s="2">
        <f t="shared" ref="I23:L23" si="27">AVERAGE($D$23:$F$23)</f>
        <v>0.3538698492246774</v>
      </c>
      <c r="J23" s="2">
        <f t="shared" si="27"/>
        <v>0.3538698492246774</v>
      </c>
      <c r="K23" s="2">
        <f t="shared" si="27"/>
        <v>0.3538698492246774</v>
      </c>
      <c r="L23" s="2">
        <f t="shared" si="27"/>
        <v>0.3538698492246774</v>
      </c>
      <c r="M23" s="15"/>
      <c r="N23" s="15"/>
    </row>
    <row r="24" spans="1:14" x14ac:dyDescent="0.35">
      <c r="D24" s="60"/>
      <c r="E24" s="60"/>
      <c r="F24" s="60"/>
      <c r="G24" s="60"/>
      <c r="H24" s="15"/>
      <c r="I24" s="15"/>
      <c r="J24" s="15"/>
      <c r="K24" s="15"/>
      <c r="L24" s="15"/>
      <c r="M24" s="15"/>
      <c r="N24" s="15"/>
    </row>
    <row r="25" spans="1:14" x14ac:dyDescent="0.35">
      <c r="D25" s="56"/>
      <c r="E25" s="56"/>
      <c r="F25" s="56"/>
      <c r="G25" s="56"/>
    </row>
    <row r="26" spans="1:14" x14ac:dyDescent="0.35">
      <c r="D26" s="56"/>
      <c r="E26" s="56"/>
      <c r="F26" s="56"/>
      <c r="G26" s="56"/>
    </row>
    <row r="27" spans="1:14" x14ac:dyDescent="0.35">
      <c r="D27" s="56"/>
      <c r="E27" s="56"/>
      <c r="F27" s="56"/>
      <c r="G27" s="56"/>
    </row>
    <row r="28" spans="1:14" x14ac:dyDescent="0.35">
      <c r="D28" s="56"/>
      <c r="E28" s="56"/>
      <c r="F28" s="56"/>
      <c r="G28" s="56"/>
    </row>
    <row r="29" spans="1:14" x14ac:dyDescent="0.35">
      <c r="D29" s="56"/>
      <c r="E29" s="56"/>
      <c r="F29" s="56"/>
      <c r="G29" s="56"/>
    </row>
    <row r="30" spans="1:14" x14ac:dyDescent="0.35">
      <c r="D30" s="56"/>
      <c r="E30" s="56"/>
      <c r="F30" s="56"/>
      <c r="G30" s="56"/>
    </row>
    <row r="31" spans="1:14" x14ac:dyDescent="0.35">
      <c r="D31" s="56"/>
      <c r="E31" s="56"/>
      <c r="F31" s="56"/>
      <c r="G31" s="56"/>
    </row>
  </sheetData>
  <mergeCells count="2">
    <mergeCell ref="D1:G1"/>
    <mergeCell ref="H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0375-8992-4FCF-AF5A-8E5A837C79B3}">
  <dimension ref="A1:L9"/>
  <sheetViews>
    <sheetView showGridLines="0" workbookViewId="0">
      <selection activeCell="I8" sqref="I8"/>
    </sheetView>
  </sheetViews>
  <sheetFormatPr defaultRowHeight="14.5" x14ac:dyDescent="0.35"/>
  <sheetData>
    <row r="1" spans="1:12" x14ac:dyDescent="0.35">
      <c r="A1" s="1" t="s">
        <v>12</v>
      </c>
      <c r="D1" s="65" t="s">
        <v>13</v>
      </c>
      <c r="E1" s="65"/>
      <c r="F1" s="65"/>
      <c r="G1" s="65"/>
      <c r="H1" s="66" t="s">
        <v>14</v>
      </c>
      <c r="I1" s="66"/>
      <c r="J1" s="66"/>
      <c r="K1" s="66"/>
      <c r="L1" s="66"/>
    </row>
    <row r="2" spans="1:12" x14ac:dyDescent="0.35">
      <c r="A2" s="1" t="s">
        <v>25</v>
      </c>
      <c r="D2" s="7">
        <v>2017</v>
      </c>
      <c r="E2" s="7">
        <f>D2+1</f>
        <v>2018</v>
      </c>
      <c r="F2" s="7">
        <f t="shared" ref="F2:G2" si="0">E2+1</f>
        <v>2019</v>
      </c>
      <c r="G2" s="7">
        <f t="shared" si="0"/>
        <v>2020</v>
      </c>
      <c r="H2" s="1">
        <f>G2+1</f>
        <v>2021</v>
      </c>
      <c r="I2" s="1">
        <f t="shared" ref="I2:L2" si="1">H2+1</f>
        <v>2022</v>
      </c>
      <c r="J2" s="1">
        <f t="shared" si="1"/>
        <v>2023</v>
      </c>
      <c r="K2" s="1">
        <f t="shared" si="1"/>
        <v>2024</v>
      </c>
      <c r="L2" s="1">
        <f t="shared" si="1"/>
        <v>2025</v>
      </c>
    </row>
    <row r="3" spans="1:12" x14ac:dyDescent="0.35">
      <c r="A3" s="1"/>
      <c r="D3" s="7"/>
      <c r="E3" s="7"/>
      <c r="F3" s="7"/>
      <c r="G3" s="7"/>
      <c r="H3" s="1"/>
      <c r="I3" s="1"/>
      <c r="J3" s="1"/>
      <c r="K3" s="1"/>
      <c r="L3" s="1"/>
    </row>
    <row r="4" spans="1:12" x14ac:dyDescent="0.35">
      <c r="A4" t="s">
        <v>28</v>
      </c>
      <c r="D4" s="8">
        <f>C6</f>
        <v>6533</v>
      </c>
      <c r="E4" s="8">
        <f t="shared" ref="E4:G4" si="2">D6</f>
        <v>6577</v>
      </c>
      <c r="F4" s="8">
        <f t="shared" si="2"/>
        <v>6366</v>
      </c>
      <c r="G4" s="8">
        <f t="shared" si="2"/>
        <v>7847</v>
      </c>
      <c r="H4" s="8">
        <f>G6</f>
        <v>7601</v>
      </c>
      <c r="I4" s="8">
        <f t="shared" ref="I4:L4" si="3">H6</f>
        <v>6970</v>
      </c>
      <c r="J4" s="8">
        <f t="shared" si="3"/>
        <v>6557</v>
      </c>
      <c r="K4" s="8">
        <f t="shared" si="3"/>
        <v>5661</v>
      </c>
      <c r="L4" s="8">
        <f t="shared" si="3"/>
        <v>5163</v>
      </c>
    </row>
    <row r="5" spans="1:12" x14ac:dyDescent="0.35">
      <c r="A5" t="s">
        <v>103</v>
      </c>
      <c r="D5" s="8">
        <f>D6-D4</f>
        <v>44</v>
      </c>
      <c r="E5" s="8">
        <f t="shared" ref="E5:G5" si="4">E6-E4</f>
        <v>-211</v>
      </c>
      <c r="F5" s="8">
        <f t="shared" si="4"/>
        <v>1481</v>
      </c>
      <c r="G5" s="8">
        <f t="shared" si="4"/>
        <v>-246</v>
      </c>
      <c r="H5">
        <v>-631</v>
      </c>
      <c r="I5">
        <v>-413</v>
      </c>
      <c r="J5">
        <v>-896</v>
      </c>
      <c r="K5">
        <v>-498</v>
      </c>
      <c r="L5">
        <v>-130</v>
      </c>
    </row>
    <row r="6" spans="1:12" x14ac:dyDescent="0.35">
      <c r="A6" s="31" t="s">
        <v>29</v>
      </c>
      <c r="B6" s="31"/>
      <c r="C6" s="35">
        <f>13+6520</f>
        <v>6533</v>
      </c>
      <c r="D6" s="35">
        <f>11+6566</f>
        <v>6577</v>
      </c>
      <c r="E6" s="35">
        <f>12+6354</f>
        <v>6366</v>
      </c>
      <c r="F6" s="35">
        <f>7333+260+254</f>
        <v>7847</v>
      </c>
      <c r="G6" s="35">
        <f>258+9+7334</f>
        <v>7601</v>
      </c>
      <c r="H6" s="32">
        <f>H4+H5</f>
        <v>6970</v>
      </c>
      <c r="I6" s="32">
        <f t="shared" ref="I6:L6" si="5">I4+I5</f>
        <v>6557</v>
      </c>
      <c r="J6" s="32">
        <f t="shared" si="5"/>
        <v>5661</v>
      </c>
      <c r="K6" s="32">
        <f t="shared" si="5"/>
        <v>5163</v>
      </c>
      <c r="L6" s="32">
        <f t="shared" si="5"/>
        <v>5033</v>
      </c>
    </row>
    <row r="8" spans="1:12" x14ac:dyDescent="0.35">
      <c r="A8" t="s">
        <v>24</v>
      </c>
      <c r="D8" s="8">
        <v>102</v>
      </c>
      <c r="E8" s="8">
        <v>143</v>
      </c>
      <c r="F8" s="8">
        <v>145</v>
      </c>
      <c r="G8" s="8">
        <v>164</v>
      </c>
      <c r="H8" s="15">
        <f>H9*H4</f>
        <v>158.85867210398879</v>
      </c>
      <c r="I8" s="15">
        <f t="shared" ref="I8:L8" si="6">I9*I4</f>
        <v>145.67095705365108</v>
      </c>
      <c r="J8" s="15">
        <f t="shared" si="6"/>
        <v>137.03937810628267</v>
      </c>
      <c r="K8" s="15">
        <f t="shared" si="6"/>
        <v>118.31324072894101</v>
      </c>
      <c r="L8" s="15">
        <f t="shared" si="6"/>
        <v>107.90518669555244</v>
      </c>
    </row>
    <row r="9" spans="1:12" x14ac:dyDescent="0.35">
      <c r="A9" t="s">
        <v>35</v>
      </c>
      <c r="D9" s="9">
        <f>D8/D4</f>
        <v>1.5613041481708251E-2</v>
      </c>
      <c r="E9" s="9">
        <f t="shared" ref="E9:G9" si="7">E8/E4</f>
        <v>2.1742435760985251E-2</v>
      </c>
      <c r="F9" s="9">
        <f t="shared" si="7"/>
        <v>2.2777254162739555E-2</v>
      </c>
      <c r="G9" s="9">
        <f t="shared" si="7"/>
        <v>2.0899706894354532E-2</v>
      </c>
      <c r="H9" s="5">
        <f>G9</f>
        <v>2.0899706894354532E-2</v>
      </c>
      <c r="I9" s="5">
        <f t="shared" ref="I9:L9" si="8">H9</f>
        <v>2.0899706894354532E-2</v>
      </c>
      <c r="J9" s="5">
        <f t="shared" si="8"/>
        <v>2.0899706894354532E-2</v>
      </c>
      <c r="K9" s="5">
        <f t="shared" si="8"/>
        <v>2.0899706894354532E-2</v>
      </c>
      <c r="L9" s="5">
        <f t="shared" si="8"/>
        <v>2.0899706894354532E-2</v>
      </c>
    </row>
  </sheetData>
  <mergeCells count="2">
    <mergeCell ref="D1:G1"/>
    <mergeCell ref="H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9A60-DDFD-46B3-BBA2-FEEE4A15A882}">
  <dimension ref="A1:L23"/>
  <sheetViews>
    <sheetView showGridLines="0" workbookViewId="0">
      <selection activeCell="L8" sqref="L8"/>
    </sheetView>
  </sheetViews>
  <sheetFormatPr defaultRowHeight="14.5" x14ac:dyDescent="0.35"/>
  <sheetData>
    <row r="1" spans="1:12" x14ac:dyDescent="0.35">
      <c r="A1" s="1" t="s">
        <v>12</v>
      </c>
      <c r="D1" s="65" t="s">
        <v>13</v>
      </c>
      <c r="E1" s="65"/>
      <c r="F1" s="65"/>
      <c r="G1" s="65"/>
      <c r="H1" s="66" t="s">
        <v>14</v>
      </c>
      <c r="I1" s="66"/>
      <c r="J1" s="66"/>
      <c r="K1" s="66"/>
      <c r="L1" s="66"/>
    </row>
    <row r="2" spans="1:12" x14ac:dyDescent="0.35">
      <c r="D2" s="7">
        <v>2017</v>
      </c>
      <c r="E2" s="7">
        <f>D2+1</f>
        <v>2018</v>
      </c>
      <c r="F2" s="7">
        <f t="shared" ref="F2:G2" si="0">E2+1</f>
        <v>2019</v>
      </c>
      <c r="G2" s="7">
        <f t="shared" si="0"/>
        <v>2020</v>
      </c>
      <c r="H2" s="1">
        <f>G2+1</f>
        <v>2021</v>
      </c>
      <c r="I2" s="1">
        <f t="shared" ref="I2:L2" si="1">H2+1</f>
        <v>2022</v>
      </c>
      <c r="J2" s="1">
        <f t="shared" si="1"/>
        <v>2023</v>
      </c>
      <c r="K2" s="1">
        <f t="shared" si="1"/>
        <v>2024</v>
      </c>
      <c r="L2" s="1">
        <f t="shared" si="1"/>
        <v>2025</v>
      </c>
    </row>
    <row r="4" spans="1:12" x14ac:dyDescent="0.35">
      <c r="A4" s="1" t="s">
        <v>26</v>
      </c>
    </row>
    <row r="5" spans="1:12" x14ac:dyDescent="0.35">
      <c r="A5" t="s">
        <v>28</v>
      </c>
      <c r="D5" s="8">
        <f>C9</f>
        <v>3840</v>
      </c>
      <c r="E5" s="8">
        <f t="shared" ref="E5:L5" si="2">D9</f>
        <v>4072</v>
      </c>
      <c r="F5" s="8">
        <f t="shared" si="2"/>
        <v>3881</v>
      </c>
      <c r="G5" s="8">
        <f t="shared" si="2"/>
        <v>3750</v>
      </c>
      <c r="H5" s="6">
        <f t="shared" si="2"/>
        <v>3716</v>
      </c>
      <c r="I5" s="6">
        <f t="shared" si="2"/>
        <v>3931.6119214162854</v>
      </c>
      <c r="J5" s="6">
        <f t="shared" si="2"/>
        <v>4080.013548382412</v>
      </c>
      <c r="K5" s="6">
        <f t="shared" si="2"/>
        <v>4209.8824101445853</v>
      </c>
      <c r="L5" s="6">
        <f t="shared" si="2"/>
        <v>4318.9825603782483</v>
      </c>
    </row>
    <row r="6" spans="1:12" x14ac:dyDescent="0.35">
      <c r="A6" t="s">
        <v>31</v>
      </c>
      <c r="D6" s="8">
        <f>D7-D5</f>
        <v>672</v>
      </c>
      <c r="E6" s="8">
        <f t="shared" ref="E6:G6" si="3">E7-E5</f>
        <v>261</v>
      </c>
      <c r="F6" s="8">
        <f t="shared" si="3"/>
        <v>326</v>
      </c>
      <c r="G6" s="8">
        <f t="shared" si="3"/>
        <v>471</v>
      </c>
      <c r="H6" s="17">
        <f>H7-H5</f>
        <v>689.2930613649396</v>
      </c>
      <c r="I6" s="17">
        <f t="shared" ref="I6:L6" si="4">I7-I5</f>
        <v>639.96221515041088</v>
      </c>
      <c r="J6" s="17">
        <f t="shared" si="4"/>
        <v>637.07606810534753</v>
      </c>
      <c r="K6" s="17">
        <f t="shared" si="4"/>
        <v>629.4517575411719</v>
      </c>
      <c r="L6" s="17">
        <f t="shared" si="4"/>
        <v>617.13829066122344</v>
      </c>
    </row>
    <row r="7" spans="1:12" x14ac:dyDescent="0.35">
      <c r="A7" s="31" t="s">
        <v>32</v>
      </c>
      <c r="B7" s="31"/>
      <c r="C7" s="31"/>
      <c r="D7" s="35">
        <f>D8+D9</f>
        <v>4512</v>
      </c>
      <c r="E7" s="35">
        <f t="shared" ref="E7:G7" si="5">E8+E9</f>
        <v>4333</v>
      </c>
      <c r="F7" s="35">
        <f t="shared" si="5"/>
        <v>4207</v>
      </c>
      <c r="G7" s="35">
        <f t="shared" si="5"/>
        <v>4221</v>
      </c>
      <c r="H7" s="57">
        <f>'Income Statement'!H3/'Fixed asset Schedule'!H13</f>
        <v>4405.2930613649396</v>
      </c>
      <c r="I7" s="57">
        <f>'Income Statement'!I3/'Fixed asset Schedule'!I13</f>
        <v>4571.5741365666963</v>
      </c>
      <c r="J7" s="57">
        <f>'Income Statement'!J3/'Fixed asset Schedule'!J13</f>
        <v>4717.0896164877595</v>
      </c>
      <c r="K7" s="57">
        <f>'Income Statement'!K3/'Fixed asset Schedule'!K13</f>
        <v>4839.3341676857572</v>
      </c>
      <c r="L7" s="57">
        <f>'Income Statement'!L3/'Fixed asset Schedule'!L13</f>
        <v>4936.1208510394717</v>
      </c>
    </row>
    <row r="8" spans="1:12" x14ac:dyDescent="0.35">
      <c r="A8" t="s">
        <v>30</v>
      </c>
      <c r="D8" s="8">
        <f>'Income Statement'!D14</f>
        <v>440</v>
      </c>
      <c r="E8" s="8">
        <f>'Income Statement'!E14</f>
        <v>452</v>
      </c>
      <c r="F8" s="8">
        <f>'Income Statement'!F14</f>
        <v>457</v>
      </c>
      <c r="G8" s="8">
        <f>'Income Statement'!G14</f>
        <v>505</v>
      </c>
      <c r="H8" s="17">
        <f>H7*H11</f>
        <v>473.68113994865405</v>
      </c>
      <c r="I8" s="17">
        <f t="shared" ref="I8:L8" si="6">I7*I11</f>
        <v>491.56058818428443</v>
      </c>
      <c r="J8" s="17">
        <f t="shared" si="6"/>
        <v>507.20720634317439</v>
      </c>
      <c r="K8" s="17">
        <f t="shared" si="6"/>
        <v>520.3516073075084</v>
      </c>
      <c r="L8" s="17">
        <f t="shared" si="6"/>
        <v>530.75863945365847</v>
      </c>
    </row>
    <row r="9" spans="1:12" x14ac:dyDescent="0.35">
      <c r="A9" s="31" t="s">
        <v>29</v>
      </c>
      <c r="B9" s="31"/>
      <c r="C9" s="31">
        <v>3840</v>
      </c>
      <c r="D9" s="35">
        <v>4072</v>
      </c>
      <c r="E9" s="35">
        <v>3881</v>
      </c>
      <c r="F9" s="35">
        <v>3750</v>
      </c>
      <c r="G9" s="35">
        <f>3716</f>
        <v>3716</v>
      </c>
      <c r="H9" s="57">
        <f>H7-H8</f>
        <v>3931.6119214162854</v>
      </c>
      <c r="I9" s="57">
        <f t="shared" ref="I9:L9" si="7">I7-I8</f>
        <v>4080.013548382412</v>
      </c>
      <c r="J9" s="57">
        <f t="shared" si="7"/>
        <v>4209.8824101445853</v>
      </c>
      <c r="K9" s="57">
        <f t="shared" si="7"/>
        <v>4318.9825603782483</v>
      </c>
      <c r="L9" s="57">
        <f t="shared" si="7"/>
        <v>4405.3622115858134</v>
      </c>
    </row>
    <row r="10" spans="1:12" x14ac:dyDescent="0.35">
      <c r="D10" s="8"/>
      <c r="E10" s="8"/>
      <c r="F10" s="8"/>
      <c r="G10" s="8"/>
    </row>
    <row r="11" spans="1:12" x14ac:dyDescent="0.35">
      <c r="A11" s="1" t="s">
        <v>39</v>
      </c>
      <c r="D11" s="10">
        <f>D8/D7</f>
        <v>9.7517730496453903E-2</v>
      </c>
      <c r="E11" s="10">
        <f t="shared" ref="E11:G11" si="8">E8/E7</f>
        <v>0.10431571659358412</v>
      </c>
      <c r="F11" s="10">
        <f t="shared" si="8"/>
        <v>0.10862847634894224</v>
      </c>
      <c r="G11" s="10">
        <f t="shared" si="8"/>
        <v>0.11963989575929874</v>
      </c>
      <c r="H11" s="4">
        <f>AVERAGE($D$11:$G$11)</f>
        <v>0.10752545479956975</v>
      </c>
      <c r="I11" s="4">
        <f t="shared" ref="I11:L11" si="9">AVERAGE($D$11:$G$11)</f>
        <v>0.10752545479956975</v>
      </c>
      <c r="J11" s="4">
        <f t="shared" si="9"/>
        <v>0.10752545479956975</v>
      </c>
      <c r="K11" s="4">
        <f t="shared" si="9"/>
        <v>0.10752545479956975</v>
      </c>
      <c r="L11" s="4">
        <f t="shared" si="9"/>
        <v>0.10752545479956975</v>
      </c>
    </row>
    <row r="12" spans="1:12" x14ac:dyDescent="0.35">
      <c r="A12" s="1"/>
      <c r="D12" s="10"/>
      <c r="E12" s="10"/>
      <c r="F12" s="10"/>
      <c r="G12" s="10"/>
    </row>
    <row r="13" spans="1:12" x14ac:dyDescent="0.35">
      <c r="A13" s="1" t="s">
        <v>41</v>
      </c>
      <c r="D13" s="12">
        <f>'Income Statement'!D3/'Fixed asset Schedule'!D7</f>
        <v>3.4250886524822697</v>
      </c>
      <c r="E13" s="12">
        <f>'Income Statement'!E3/'Fixed asset Schedule'!E7</f>
        <v>3.5873528732979461</v>
      </c>
      <c r="F13" s="12">
        <f>'Income Statement'!F3/'Fixed asset Schedule'!F7</f>
        <v>3.7302115521749464</v>
      </c>
      <c r="G13" s="12">
        <f>'Income Statement'!G3/'Fixed asset Schedule'!G7</f>
        <v>3.902155887230514</v>
      </c>
      <c r="H13" s="18">
        <f>G13</f>
        <v>3.902155887230514</v>
      </c>
      <c r="I13" s="18">
        <f t="shared" ref="I13:L13" si="10">H13</f>
        <v>3.902155887230514</v>
      </c>
      <c r="J13" s="18">
        <f t="shared" si="10"/>
        <v>3.902155887230514</v>
      </c>
      <c r="K13" s="18">
        <f t="shared" si="10"/>
        <v>3.902155887230514</v>
      </c>
      <c r="L13" s="18">
        <f t="shared" si="10"/>
        <v>3.902155887230514</v>
      </c>
    </row>
    <row r="14" spans="1:12" x14ac:dyDescent="0.35">
      <c r="A14" s="1"/>
      <c r="D14" s="8"/>
      <c r="E14" s="8"/>
      <c r="F14" s="8"/>
      <c r="G14" s="8"/>
    </row>
    <row r="15" spans="1:12" x14ac:dyDescent="0.35">
      <c r="A15" s="1" t="s">
        <v>42</v>
      </c>
      <c r="D15" s="8"/>
      <c r="E15" s="8"/>
      <c r="F15" s="8"/>
      <c r="G15" s="8"/>
      <c r="H15" s="15"/>
      <c r="I15" s="15"/>
      <c r="J15" s="15"/>
      <c r="K15" s="15"/>
      <c r="L15" s="15"/>
    </row>
    <row r="16" spans="1:12" x14ac:dyDescent="0.35">
      <c r="A16" t="s">
        <v>28</v>
      </c>
      <c r="D16" s="8">
        <f>C20</f>
        <v>1313</v>
      </c>
      <c r="E16" s="8">
        <f t="shared" ref="E16:G16" si="11">D20</f>
        <v>1341</v>
      </c>
      <c r="F16" s="8">
        <f t="shared" si="11"/>
        <v>1637</v>
      </c>
      <c r="G16" s="8">
        <f t="shared" si="11"/>
        <v>2997</v>
      </c>
      <c r="H16" s="13">
        <f>G20</f>
        <v>2894</v>
      </c>
      <c r="I16" s="13">
        <f t="shared" ref="I16:L16" si="12">H20</f>
        <v>2814.4133797027539</v>
      </c>
      <c r="J16" s="13">
        <f t="shared" si="12"/>
        <v>2737.0154360227634</v>
      </c>
      <c r="K16" s="13">
        <f t="shared" si="12"/>
        <v>2661.7459791276542</v>
      </c>
      <c r="L16" s="13">
        <f t="shared" si="12"/>
        <v>2588.546474439142</v>
      </c>
    </row>
    <row r="17" spans="1:12" x14ac:dyDescent="0.35">
      <c r="A17" t="s">
        <v>31</v>
      </c>
      <c r="D17" s="8">
        <f>D18-D16</f>
        <v>63</v>
      </c>
      <c r="E17" s="8">
        <f t="shared" ref="E17:G17" si="13">E18-E16</f>
        <v>355</v>
      </c>
      <c r="F17" s="8">
        <f t="shared" si="13"/>
        <v>1422</v>
      </c>
      <c r="G17" s="8">
        <f t="shared" si="13"/>
        <v>-15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</row>
    <row r="18" spans="1:12" x14ac:dyDescent="0.35">
      <c r="A18" s="31" t="s">
        <v>102</v>
      </c>
      <c r="B18" s="31"/>
      <c r="C18" s="31"/>
      <c r="D18" s="35">
        <f>D20+D19</f>
        <v>1376</v>
      </c>
      <c r="E18" s="35">
        <f t="shared" ref="E18:G18" si="14">E20+E19</f>
        <v>1696</v>
      </c>
      <c r="F18" s="35">
        <f t="shared" si="14"/>
        <v>3059</v>
      </c>
      <c r="G18" s="35">
        <f t="shared" si="14"/>
        <v>2982</v>
      </c>
      <c r="H18" s="58">
        <f>H16+H17</f>
        <v>2894</v>
      </c>
      <c r="I18" s="58">
        <f t="shared" ref="I18:L18" si="15">I16+I17</f>
        <v>2814.4133797027539</v>
      </c>
      <c r="J18" s="58">
        <f t="shared" si="15"/>
        <v>2737.0154360227634</v>
      </c>
      <c r="K18" s="58">
        <f t="shared" si="15"/>
        <v>2661.7459791276542</v>
      </c>
      <c r="L18" s="58">
        <f t="shared" si="15"/>
        <v>2588.546474439142</v>
      </c>
    </row>
    <row r="19" spans="1:12" x14ac:dyDescent="0.35">
      <c r="A19" t="s">
        <v>36</v>
      </c>
      <c r="D19" s="8">
        <f>'Income Statement'!D13</f>
        <v>35</v>
      </c>
      <c r="E19" s="8">
        <f>'Income Statement'!E13</f>
        <v>59</v>
      </c>
      <c r="F19" s="8">
        <f>'Income Statement'!F13</f>
        <v>62</v>
      </c>
      <c r="G19" s="8">
        <f>'Income Statement'!G13</f>
        <v>88</v>
      </c>
      <c r="H19" s="15">
        <f>H22*H18</f>
        <v>79.586620297246313</v>
      </c>
      <c r="I19" s="15">
        <f t="shared" ref="I19:L19" si="16">I22*I18</f>
        <v>77.397943679990604</v>
      </c>
      <c r="J19" s="15">
        <f t="shared" si="16"/>
        <v>75.269456895109101</v>
      </c>
      <c r="K19" s="15">
        <f t="shared" si="16"/>
        <v>73.199504688512349</v>
      </c>
      <c r="L19" s="15">
        <f t="shared" si="16"/>
        <v>71.186477326525093</v>
      </c>
    </row>
    <row r="20" spans="1:12" x14ac:dyDescent="0.35">
      <c r="A20" s="31" t="s">
        <v>29</v>
      </c>
      <c r="B20" s="31"/>
      <c r="C20" s="31">
        <v>1313</v>
      </c>
      <c r="D20" s="35">
        <v>1341</v>
      </c>
      <c r="E20" s="35">
        <v>1637</v>
      </c>
      <c r="F20" s="35">
        <v>2997</v>
      </c>
      <c r="G20" s="35">
        <v>2894</v>
      </c>
      <c r="H20" s="58">
        <f>H18-H19</f>
        <v>2814.4133797027539</v>
      </c>
      <c r="I20" s="58">
        <f t="shared" ref="I20:L20" si="17">I18-I19</f>
        <v>2737.0154360227634</v>
      </c>
      <c r="J20" s="58">
        <f t="shared" si="17"/>
        <v>2661.7459791276542</v>
      </c>
      <c r="K20" s="58">
        <f t="shared" si="17"/>
        <v>2588.546474439142</v>
      </c>
      <c r="L20" s="58">
        <f t="shared" si="17"/>
        <v>2517.3599971126168</v>
      </c>
    </row>
    <row r="21" spans="1:12" x14ac:dyDescent="0.35">
      <c r="A21" s="1"/>
      <c r="B21" s="1"/>
      <c r="C21" s="1"/>
      <c r="D21" s="7"/>
      <c r="E21" s="7"/>
      <c r="F21" s="7"/>
      <c r="G21" s="7"/>
    </row>
    <row r="22" spans="1:12" x14ac:dyDescent="0.35">
      <c r="A22" s="1" t="s">
        <v>40</v>
      </c>
      <c r="D22" s="10">
        <f>D19/D18</f>
        <v>2.5436046511627907E-2</v>
      </c>
      <c r="E22" s="10">
        <f t="shared" ref="E22:G22" si="18">E19/E18</f>
        <v>3.4787735849056603E-2</v>
      </c>
      <c r="F22" s="10">
        <f t="shared" si="18"/>
        <v>2.0268061457992807E-2</v>
      </c>
      <c r="G22" s="10">
        <f t="shared" si="18"/>
        <v>2.9510395707578806E-2</v>
      </c>
      <c r="H22" s="4">
        <f>AVERAGE($D$22:$G$22)</f>
        <v>2.7500559881564034E-2</v>
      </c>
      <c r="I22" s="4">
        <f t="shared" ref="I22:L22" si="19">AVERAGE($D$22:$G$22)</f>
        <v>2.7500559881564034E-2</v>
      </c>
      <c r="J22" s="4">
        <f t="shared" si="19"/>
        <v>2.7500559881564034E-2</v>
      </c>
      <c r="K22" s="4">
        <f t="shared" si="19"/>
        <v>2.7500559881564034E-2</v>
      </c>
      <c r="L22" s="4">
        <f t="shared" si="19"/>
        <v>2.7500559881564034E-2</v>
      </c>
    </row>
    <row r="23" spans="1:12" x14ac:dyDescent="0.35">
      <c r="A23" s="1"/>
      <c r="D23" s="8"/>
      <c r="E23" s="8"/>
      <c r="F23" s="8"/>
      <c r="G23" s="8"/>
    </row>
  </sheetData>
  <mergeCells count="2">
    <mergeCell ref="D1:G1"/>
    <mergeCell ref="H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7EE3-298C-4CE6-8556-F008AA242CB9}">
  <dimension ref="A1:M196"/>
  <sheetViews>
    <sheetView showGridLines="0" workbookViewId="0">
      <selection activeCell="G27" sqref="G27"/>
    </sheetView>
  </sheetViews>
  <sheetFormatPr defaultRowHeight="14.5" x14ac:dyDescent="0.35"/>
  <cols>
    <col min="1" max="1" width="10.36328125" bestFit="1" customWidth="1"/>
    <col min="2" max="2" width="9.90625" bestFit="1" customWidth="1"/>
    <col min="3" max="3" width="15" bestFit="1" customWidth="1"/>
    <col min="4" max="4" width="9.36328125" bestFit="1" customWidth="1"/>
    <col min="5" max="5" width="15.1796875" bestFit="1" customWidth="1"/>
    <col min="7" max="7" width="11" bestFit="1" customWidth="1"/>
  </cols>
  <sheetData>
    <row r="1" spans="1:13" x14ac:dyDescent="0.35">
      <c r="A1" t="s">
        <v>45</v>
      </c>
      <c r="D1" s="41">
        <v>44247</v>
      </c>
      <c r="G1" s="19">
        <v>1.3639999999999999E-2</v>
      </c>
    </row>
    <row r="2" spans="1:13" x14ac:dyDescent="0.35">
      <c r="D2" s="41"/>
      <c r="G2" s="19"/>
    </row>
    <row r="3" spans="1:13" x14ac:dyDescent="0.35">
      <c r="A3" s="67" t="s">
        <v>43</v>
      </c>
      <c r="B3" s="67"/>
      <c r="C3" s="67"/>
      <c r="D3" s="67"/>
      <c r="E3" s="67"/>
      <c r="F3" s="67"/>
      <c r="G3" s="67"/>
      <c r="I3" s="67" t="s">
        <v>65</v>
      </c>
      <c r="J3" s="67"/>
      <c r="K3" s="67"/>
      <c r="L3" s="67"/>
      <c r="M3" s="67"/>
    </row>
    <row r="4" spans="1:13" x14ac:dyDescent="0.35">
      <c r="A4" t="s">
        <v>45</v>
      </c>
      <c r="D4" s="41">
        <v>44247</v>
      </c>
      <c r="G4" s="19">
        <f>G1</f>
        <v>1.3639999999999999E-2</v>
      </c>
    </row>
    <row r="5" spans="1:13" x14ac:dyDescent="0.35">
      <c r="A5" t="s">
        <v>49</v>
      </c>
      <c r="D5" t="s">
        <v>52</v>
      </c>
      <c r="G5" s="20">
        <f>(0.85%+1.07%)/2</f>
        <v>9.6000000000000009E-3</v>
      </c>
    </row>
    <row r="6" spans="1:13" x14ac:dyDescent="0.35">
      <c r="A6" t="s">
        <v>50</v>
      </c>
      <c r="D6" t="s">
        <v>52</v>
      </c>
      <c r="G6" s="4">
        <v>0</v>
      </c>
      <c r="I6" t="s">
        <v>66</v>
      </c>
      <c r="J6" s="5">
        <f>G9</f>
        <v>1.69652E-2</v>
      </c>
      <c r="L6" t="s">
        <v>67</v>
      </c>
      <c r="M6" s="2">
        <f ca="1">G32/SUM(G30,G32)</f>
        <v>8.9804832294592976E-2</v>
      </c>
    </row>
    <row r="7" spans="1:13" s="1" customFormat="1" x14ac:dyDescent="0.35">
      <c r="A7" s="1" t="s">
        <v>43</v>
      </c>
      <c r="G7" s="63">
        <f>G4+G5+G6</f>
        <v>2.324E-2</v>
      </c>
      <c r="I7" t="s">
        <v>68</v>
      </c>
      <c r="J7" s="5">
        <f>G17</f>
        <v>4.6994469240292644E-2</v>
      </c>
      <c r="K7"/>
      <c r="L7" t="s">
        <v>69</v>
      </c>
      <c r="M7" s="47">
        <f ca="1">G30/SUM(G30,G32)</f>
        <v>0.91019516770540698</v>
      </c>
    </row>
    <row r="8" spans="1:13" s="1" customFormat="1" x14ac:dyDescent="0.35">
      <c r="A8" t="s">
        <v>2</v>
      </c>
      <c r="B8"/>
      <c r="C8"/>
      <c r="D8" t="s">
        <v>53</v>
      </c>
      <c r="E8"/>
      <c r="F8"/>
      <c r="G8" s="19">
        <f>'Income Statement'!L21</f>
        <v>0.27</v>
      </c>
    </row>
    <row r="9" spans="1:13" s="1" customFormat="1" x14ac:dyDescent="0.35">
      <c r="A9" s="31" t="s">
        <v>51</v>
      </c>
      <c r="B9" s="31"/>
      <c r="C9" s="31"/>
      <c r="D9" s="31"/>
      <c r="E9" s="31"/>
      <c r="F9" s="31"/>
      <c r="G9" s="42">
        <f>G7*(1-G8)</f>
        <v>1.69652E-2</v>
      </c>
      <c r="I9" s="31" t="s">
        <v>75</v>
      </c>
      <c r="J9" s="31"/>
      <c r="K9" s="31"/>
      <c r="L9" s="31"/>
      <c r="M9" s="42">
        <f ca="1">SUMPRODUCT(M6:M7,J6:J7)</f>
        <v>4.4297695752238984E-2</v>
      </c>
    </row>
    <row r="11" spans="1:13" x14ac:dyDescent="0.35">
      <c r="A11" s="67" t="s">
        <v>44</v>
      </c>
      <c r="B11" s="67"/>
      <c r="C11" s="67"/>
      <c r="D11" s="67"/>
      <c r="E11" s="67"/>
      <c r="F11" s="67"/>
      <c r="G11" s="67"/>
    </row>
    <row r="12" spans="1:13" x14ac:dyDescent="0.35">
      <c r="A12" t="s">
        <v>46</v>
      </c>
      <c r="D12" s="41">
        <v>44247</v>
      </c>
      <c r="G12" s="19">
        <f>G1</f>
        <v>1.3639999999999999E-2</v>
      </c>
    </row>
    <row r="13" spans="1:13" x14ac:dyDescent="0.35">
      <c r="A13" t="s">
        <v>47</v>
      </c>
      <c r="G13" s="14">
        <f>SLOPE(E40:E195,C40:C195)</f>
        <v>0.51818642685338856</v>
      </c>
    </row>
    <row r="14" spans="1:13" x14ac:dyDescent="0.35">
      <c r="A14" t="s">
        <v>48</v>
      </c>
      <c r="G14" s="19">
        <f>G23</f>
        <v>7.800770149081826E-2</v>
      </c>
    </row>
    <row r="15" spans="1:13" x14ac:dyDescent="0.35">
      <c r="A15" t="s">
        <v>46</v>
      </c>
      <c r="D15" s="41">
        <v>44247</v>
      </c>
      <c r="G15" s="19">
        <f>G12</f>
        <v>1.3639999999999999E-2</v>
      </c>
    </row>
    <row r="17" spans="1:7" s="1" customFormat="1" x14ac:dyDescent="0.35">
      <c r="A17" s="31" t="s">
        <v>44</v>
      </c>
      <c r="B17" s="31"/>
      <c r="C17" s="31"/>
      <c r="D17" s="31"/>
      <c r="E17" s="31"/>
      <c r="F17" s="31"/>
      <c r="G17" s="46">
        <f>G12+(G13*(G14-G15))</f>
        <v>4.6994469240292644E-2</v>
      </c>
    </row>
    <row r="19" spans="1:7" x14ac:dyDescent="0.35">
      <c r="A19" s="1" t="s">
        <v>60</v>
      </c>
    </row>
    <row r="20" spans="1:7" x14ac:dyDescent="0.35">
      <c r="A20" t="s">
        <v>61</v>
      </c>
      <c r="D20" s="44">
        <v>31048</v>
      </c>
      <c r="G20" s="45">
        <v>1097.02</v>
      </c>
    </row>
    <row r="21" spans="1:7" x14ac:dyDescent="0.35">
      <c r="A21" t="s">
        <v>62</v>
      </c>
      <c r="D21" s="41">
        <f>D15</f>
        <v>44247</v>
      </c>
      <c r="G21" s="45">
        <v>15362.69</v>
      </c>
    </row>
    <row r="22" spans="1:7" x14ac:dyDescent="0.35">
      <c r="A22" t="s">
        <v>63</v>
      </c>
      <c r="D22" s="14">
        <f>YEARFRAC(D20,D21,1)</f>
        <v>36.137561047802279</v>
      </c>
    </row>
    <row r="23" spans="1:7" x14ac:dyDescent="0.35">
      <c r="A23" t="s">
        <v>64</v>
      </c>
      <c r="D23" s="14"/>
      <c r="G23" s="20">
        <f>(G21/G20)^(1/(D22-1))-1</f>
        <v>7.800770149081826E-2</v>
      </c>
    </row>
    <row r="26" spans="1:7" x14ac:dyDescent="0.35">
      <c r="A26" s="1" t="s">
        <v>70</v>
      </c>
    </row>
    <row r="27" spans="1:7" x14ac:dyDescent="0.35">
      <c r="A27" t="s">
        <v>71</v>
      </c>
      <c r="G27" s="14">
        <f>848562678/10^6</f>
        <v>848.56267800000001</v>
      </c>
    </row>
    <row r="28" spans="1:7" x14ac:dyDescent="0.35">
      <c r="A28" t="s">
        <v>72</v>
      </c>
      <c r="D28" s="18"/>
      <c r="G28" s="18">
        <f ca="1">'DCF value'!G27</f>
        <v>90.786573556787161</v>
      </c>
    </row>
    <row r="30" spans="1:7" x14ac:dyDescent="0.35">
      <c r="A30" t="s">
        <v>73</v>
      </c>
      <c r="G30" s="18">
        <f ca="1">G27*G28</f>
        <v>77038.097983791304</v>
      </c>
    </row>
    <row r="32" spans="1:7" x14ac:dyDescent="0.35">
      <c r="A32" t="s">
        <v>74</v>
      </c>
      <c r="G32">
        <f>'Debt Schedule'!G6</f>
        <v>7601</v>
      </c>
    </row>
    <row r="35" spans="1:5" x14ac:dyDescent="0.35">
      <c r="A35" s="1" t="s">
        <v>54</v>
      </c>
    </row>
    <row r="36" spans="1:5" x14ac:dyDescent="0.35">
      <c r="A36" s="1" t="s">
        <v>55</v>
      </c>
    </row>
    <row r="38" spans="1:5" x14ac:dyDescent="0.35">
      <c r="A38" s="1" t="s">
        <v>59</v>
      </c>
      <c r="B38" s="22" t="s">
        <v>57</v>
      </c>
      <c r="C38" s="1" t="s">
        <v>58</v>
      </c>
      <c r="D38" s="22" t="s">
        <v>57</v>
      </c>
      <c r="E38" s="1" t="s">
        <v>56</v>
      </c>
    </row>
    <row r="39" spans="1:5" x14ac:dyDescent="0.35">
      <c r="A39" s="43">
        <v>43150</v>
      </c>
      <c r="B39" s="14">
        <v>12884.110352</v>
      </c>
      <c r="D39">
        <v>65.348472999999998</v>
      </c>
    </row>
    <row r="40" spans="1:5" x14ac:dyDescent="0.35">
      <c r="A40" s="43">
        <v>43157</v>
      </c>
      <c r="B40" s="14">
        <v>12557.990234000001</v>
      </c>
      <c r="C40" s="3">
        <f>B40/B39-1</f>
        <v>-2.5311807264160491E-2</v>
      </c>
      <c r="D40">
        <v>64.391013999999998</v>
      </c>
      <c r="E40" s="3">
        <f>D40/D39-1</f>
        <v>-1.465158948702594E-2</v>
      </c>
    </row>
    <row r="41" spans="1:5" x14ac:dyDescent="0.35">
      <c r="A41" s="43">
        <v>43164</v>
      </c>
      <c r="B41" s="14">
        <v>12918.820313</v>
      </c>
      <c r="C41" s="3">
        <f t="shared" ref="C41:C56" si="0">B41/B40-1</f>
        <v>2.8733107151419413E-2</v>
      </c>
      <c r="D41">
        <v>66.222260000000006</v>
      </c>
      <c r="E41" s="3">
        <f t="shared" ref="E41:E104" si="1">D41/D40-1</f>
        <v>2.8439465171335998E-2</v>
      </c>
    </row>
    <row r="42" spans="1:5" x14ac:dyDescent="0.35">
      <c r="A42" s="43">
        <v>43171</v>
      </c>
      <c r="B42" s="14">
        <v>12784.389648</v>
      </c>
      <c r="C42" s="3">
        <f t="shared" si="0"/>
        <v>-1.0405800355062222E-2</v>
      </c>
      <c r="D42">
        <v>64.716369999999998</v>
      </c>
      <c r="E42" s="3">
        <f t="shared" si="1"/>
        <v>-2.2739936691982487E-2</v>
      </c>
    </row>
    <row r="43" spans="1:5" x14ac:dyDescent="0.35">
      <c r="A43" s="43">
        <v>43178</v>
      </c>
      <c r="B43" s="14">
        <v>12177.700194999999</v>
      </c>
      <c r="C43" s="3">
        <f t="shared" si="0"/>
        <v>-4.7455488271582191E-2</v>
      </c>
      <c r="D43">
        <v>63.563716999999997</v>
      </c>
      <c r="E43" s="3">
        <f t="shared" si="1"/>
        <v>-1.7810841368265828E-2</v>
      </c>
    </row>
    <row r="44" spans="1:5" x14ac:dyDescent="0.35">
      <c r="A44" s="43">
        <v>43185</v>
      </c>
      <c r="B44" s="14">
        <v>12452.059569999999</v>
      </c>
      <c r="C44" s="3">
        <f t="shared" si="0"/>
        <v>2.252965425381781E-2</v>
      </c>
      <c r="D44">
        <v>66.631287</v>
      </c>
      <c r="E44" s="3">
        <f t="shared" si="1"/>
        <v>4.8259764292890583E-2</v>
      </c>
    </row>
    <row r="45" spans="1:5" x14ac:dyDescent="0.35">
      <c r="A45" s="43">
        <v>43192</v>
      </c>
      <c r="B45" s="14">
        <v>12349.110352</v>
      </c>
      <c r="C45" s="3">
        <f t="shared" si="0"/>
        <v>-8.2676457995775054E-3</v>
      </c>
      <c r="D45">
        <v>66.594086000000004</v>
      </c>
      <c r="E45" s="3">
        <f t="shared" si="1"/>
        <v>-5.5831129301153748E-4</v>
      </c>
    </row>
    <row r="46" spans="1:5" x14ac:dyDescent="0.35">
      <c r="A46" s="43">
        <v>43199</v>
      </c>
      <c r="B46" s="14">
        <v>12546.049805000001</v>
      </c>
      <c r="C46" s="3">
        <f t="shared" si="0"/>
        <v>1.5947663223213837E-2</v>
      </c>
      <c r="D46">
        <v>66.556908000000007</v>
      </c>
      <c r="E46" s="3">
        <f t="shared" si="1"/>
        <v>-5.5827780262640569E-4</v>
      </c>
    </row>
    <row r="47" spans="1:5" x14ac:dyDescent="0.35">
      <c r="A47" s="43">
        <v>43206</v>
      </c>
      <c r="B47" s="14">
        <v>12607.160156</v>
      </c>
      <c r="C47" s="3">
        <f t="shared" si="0"/>
        <v>4.8708838199928994E-3</v>
      </c>
      <c r="D47">
        <v>62.764277999999997</v>
      </c>
      <c r="E47" s="3">
        <f t="shared" si="1"/>
        <v>-5.698326610965776E-2</v>
      </c>
    </row>
    <row r="48" spans="1:5" x14ac:dyDescent="0.35">
      <c r="A48" s="43">
        <v>43213</v>
      </c>
      <c r="B48" s="14">
        <v>12594.019531</v>
      </c>
      <c r="C48" s="3">
        <f t="shared" si="0"/>
        <v>-1.0423144338137513E-3</v>
      </c>
      <c r="D48">
        <v>62.253227000000003</v>
      </c>
      <c r="E48" s="3">
        <f t="shared" si="1"/>
        <v>-8.1423863427536602E-3</v>
      </c>
    </row>
    <row r="49" spans="1:5" x14ac:dyDescent="0.35">
      <c r="A49" s="43">
        <v>43220</v>
      </c>
      <c r="B49" s="14">
        <v>12493.349609000001</v>
      </c>
      <c r="C49" s="3">
        <f t="shared" si="0"/>
        <v>-7.9934703731562307E-3</v>
      </c>
      <c r="D49">
        <v>59.569740000000003</v>
      </c>
      <c r="E49" s="3">
        <f t="shared" si="1"/>
        <v>-4.310599031275919E-2</v>
      </c>
    </row>
    <row r="50" spans="1:5" x14ac:dyDescent="0.35">
      <c r="A50" s="43">
        <v>43227</v>
      </c>
      <c r="B50" s="14">
        <v>12761.820313</v>
      </c>
      <c r="C50" s="3">
        <f t="shared" si="0"/>
        <v>2.1489089187626487E-2</v>
      </c>
      <c r="D50">
        <v>58.634726999999998</v>
      </c>
      <c r="E50" s="3">
        <f t="shared" si="1"/>
        <v>-1.5696106781731833E-2</v>
      </c>
    </row>
    <row r="51" spans="1:5" x14ac:dyDescent="0.35">
      <c r="A51" s="43">
        <v>43234</v>
      </c>
      <c r="B51" s="14">
        <v>12717.419921999999</v>
      </c>
      <c r="C51" s="3">
        <f t="shared" si="0"/>
        <v>-3.4791581381828918E-3</v>
      </c>
      <c r="D51">
        <v>58.176571000000003</v>
      </c>
      <c r="E51" s="3">
        <f t="shared" si="1"/>
        <v>-7.8137312722543761E-3</v>
      </c>
    </row>
    <row r="52" spans="1:5" x14ac:dyDescent="0.35">
      <c r="A52" s="43">
        <v>43241</v>
      </c>
      <c r="B52" s="14">
        <v>12634.940430000001</v>
      </c>
      <c r="C52" s="3">
        <f t="shared" si="0"/>
        <v>-6.4855522980189484E-3</v>
      </c>
      <c r="D52">
        <v>59.607140000000001</v>
      </c>
      <c r="E52" s="3">
        <f t="shared" si="1"/>
        <v>2.4590122370739209E-2</v>
      </c>
    </row>
    <row r="53" spans="1:5" x14ac:dyDescent="0.35">
      <c r="A53" s="43">
        <v>43248</v>
      </c>
      <c r="B53" s="14">
        <v>12620.830078000001</v>
      </c>
      <c r="C53" s="3">
        <f t="shared" si="0"/>
        <v>-1.1167723408095354E-3</v>
      </c>
      <c r="D53">
        <v>58.616028</v>
      </c>
      <c r="E53" s="3">
        <f t="shared" si="1"/>
        <v>-1.6627404032469983E-2</v>
      </c>
    </row>
    <row r="54" spans="1:5" x14ac:dyDescent="0.35">
      <c r="A54" s="43">
        <v>43255</v>
      </c>
      <c r="B54" s="14">
        <v>12832.070313</v>
      </c>
      <c r="C54" s="3">
        <f t="shared" si="0"/>
        <v>1.6737428021333045E-2</v>
      </c>
      <c r="D54">
        <v>59.223782</v>
      </c>
      <c r="E54" s="3">
        <f t="shared" si="1"/>
        <v>1.0368392754282141E-2</v>
      </c>
    </row>
    <row r="55" spans="1:5" x14ac:dyDescent="0.35">
      <c r="A55" s="43">
        <v>43262</v>
      </c>
      <c r="B55" s="14">
        <v>12734.639648</v>
      </c>
      <c r="C55" s="3">
        <f t="shared" si="0"/>
        <v>-7.5927471268056879E-3</v>
      </c>
      <c r="D55">
        <v>60.52346</v>
      </c>
      <c r="E55" s="3">
        <f t="shared" si="1"/>
        <v>2.1945204377525229E-2</v>
      </c>
    </row>
    <row r="56" spans="1:5" x14ac:dyDescent="0.35">
      <c r="A56" s="43">
        <v>43269</v>
      </c>
      <c r="B56" s="14">
        <v>12639.570313</v>
      </c>
      <c r="C56" s="3">
        <f t="shared" si="0"/>
        <v>-7.4654122635445797E-3</v>
      </c>
      <c r="D56">
        <v>60.429957999999999</v>
      </c>
      <c r="E56" s="3">
        <f t="shared" si="1"/>
        <v>-1.5448885440455529E-3</v>
      </c>
    </row>
    <row r="57" spans="1:5" x14ac:dyDescent="0.35">
      <c r="A57" s="43">
        <v>43276</v>
      </c>
      <c r="B57" s="14">
        <v>12504.25</v>
      </c>
      <c r="C57" s="3">
        <f t="shared" ref="C57:C72" si="2">B57/B56-1</f>
        <v>-1.0706084910245828E-2</v>
      </c>
      <c r="D57">
        <v>60.598255000000002</v>
      </c>
      <c r="E57" s="3">
        <f t="shared" si="1"/>
        <v>2.7849928341834307E-3</v>
      </c>
    </row>
    <row r="58" spans="1:5" x14ac:dyDescent="0.35">
      <c r="A58" s="43">
        <v>43283</v>
      </c>
      <c r="B58" s="14">
        <v>12664.879883</v>
      </c>
      <c r="C58" s="3">
        <f t="shared" si="2"/>
        <v>1.2846022992182737E-2</v>
      </c>
      <c r="D58">
        <v>61.505229999999997</v>
      </c>
      <c r="E58" s="3">
        <f t="shared" si="1"/>
        <v>1.4967015139297324E-2</v>
      </c>
    </row>
    <row r="59" spans="1:5" x14ac:dyDescent="0.35">
      <c r="A59" s="43">
        <v>43290</v>
      </c>
      <c r="B59" s="14">
        <v>12769.5</v>
      </c>
      <c r="C59" s="3">
        <f t="shared" si="2"/>
        <v>8.260648183519903E-3</v>
      </c>
      <c r="D59">
        <v>61.477169000000004</v>
      </c>
      <c r="E59" s="3">
        <f t="shared" si="1"/>
        <v>-4.5623762401980628E-4</v>
      </c>
    </row>
    <row r="60" spans="1:5" x14ac:dyDescent="0.35">
      <c r="A60" s="43">
        <v>43297</v>
      </c>
      <c r="B60" s="14">
        <v>12789.910156</v>
      </c>
      <c r="C60" s="3">
        <f t="shared" si="2"/>
        <v>1.5983520106503946E-3</v>
      </c>
      <c r="D60">
        <v>61.664161999999997</v>
      </c>
      <c r="E60" s="3">
        <f t="shared" si="1"/>
        <v>3.0416657605036868E-3</v>
      </c>
    </row>
    <row r="61" spans="1:5" x14ac:dyDescent="0.35">
      <c r="A61" s="43">
        <v>43304</v>
      </c>
      <c r="B61" s="14">
        <v>12921.339844</v>
      </c>
      <c r="C61" s="3">
        <f t="shared" si="2"/>
        <v>1.0276044663092732E-2</v>
      </c>
      <c r="D61">
        <v>62.729529999999997</v>
      </c>
      <c r="E61" s="3">
        <f t="shared" si="1"/>
        <v>1.7276939561750693E-2</v>
      </c>
    </row>
    <row r="62" spans="1:5" x14ac:dyDescent="0.35">
      <c r="A62" s="43">
        <v>43311</v>
      </c>
      <c r="B62" s="14">
        <v>12953.339844</v>
      </c>
      <c r="C62" s="3">
        <f t="shared" si="2"/>
        <v>2.476523362618499E-3</v>
      </c>
      <c r="D62">
        <v>63.520007999999997</v>
      </c>
      <c r="E62" s="3">
        <f t="shared" si="1"/>
        <v>1.2601369721724431E-2</v>
      </c>
    </row>
    <row r="63" spans="1:5" x14ac:dyDescent="0.35">
      <c r="A63" s="43">
        <v>43318</v>
      </c>
      <c r="B63" s="14">
        <v>12843.490234000001</v>
      </c>
      <c r="C63" s="3">
        <f t="shared" si="2"/>
        <v>-8.4804082439697837E-3</v>
      </c>
      <c r="D63">
        <v>61.572063</v>
      </c>
      <c r="E63" s="3">
        <f t="shared" si="1"/>
        <v>-3.0666636565914729E-2</v>
      </c>
    </row>
    <row r="64" spans="1:5" x14ac:dyDescent="0.35">
      <c r="A64" s="43">
        <v>43325</v>
      </c>
      <c r="B64" s="14">
        <v>12908.259765999999</v>
      </c>
      <c r="C64" s="3">
        <f t="shared" si="2"/>
        <v>5.0429852649038764E-3</v>
      </c>
      <c r="D64">
        <v>63.520007999999997</v>
      </c>
      <c r="E64" s="3">
        <f t="shared" si="1"/>
        <v>3.1636831788468767E-2</v>
      </c>
    </row>
    <row r="65" spans="1:5" x14ac:dyDescent="0.35">
      <c r="A65" s="43">
        <v>43332</v>
      </c>
      <c r="B65" s="14">
        <v>12999.440430000001</v>
      </c>
      <c r="C65" s="3">
        <f t="shared" si="2"/>
        <v>7.0637456677289379E-3</v>
      </c>
      <c r="D65">
        <v>62.936562000000002</v>
      </c>
      <c r="E65" s="3">
        <f t="shared" si="1"/>
        <v>-9.1852318406507871E-3</v>
      </c>
    </row>
    <row r="66" spans="1:5" x14ac:dyDescent="0.35">
      <c r="A66" s="43">
        <v>43339</v>
      </c>
      <c r="B66" s="14">
        <v>13016.889648</v>
      </c>
      <c r="C66" s="3">
        <f t="shared" si="2"/>
        <v>1.3423053164449694E-3</v>
      </c>
      <c r="D66">
        <v>62.494273999999997</v>
      </c>
      <c r="E66" s="3">
        <f t="shared" si="1"/>
        <v>-7.0275208232697395E-3</v>
      </c>
    </row>
    <row r="67" spans="1:5" x14ac:dyDescent="0.35">
      <c r="A67" s="43">
        <v>43346</v>
      </c>
      <c r="B67" s="14">
        <v>12911.120117</v>
      </c>
      <c r="C67" s="3">
        <f t="shared" si="2"/>
        <v>-8.1255610103639908E-3</v>
      </c>
      <c r="D67">
        <v>63.058909999999997</v>
      </c>
      <c r="E67" s="3">
        <f t="shared" si="1"/>
        <v>9.035003750903714E-3</v>
      </c>
    </row>
    <row r="68" spans="1:5" x14ac:dyDescent="0.35">
      <c r="A68" s="43">
        <v>43353</v>
      </c>
      <c r="B68" s="14">
        <v>13050.519531</v>
      </c>
      <c r="C68" s="3">
        <f t="shared" si="2"/>
        <v>1.0796848974896633E-2</v>
      </c>
      <c r="D68">
        <v>63.981105999999997</v>
      </c>
      <c r="E68" s="3">
        <f t="shared" si="1"/>
        <v>1.462435681174945E-2</v>
      </c>
    </row>
    <row r="69" spans="1:5" x14ac:dyDescent="0.35">
      <c r="A69" s="43">
        <v>43360</v>
      </c>
      <c r="B69" s="14">
        <v>13236.440430000001</v>
      </c>
      <c r="C69" s="3">
        <f t="shared" si="2"/>
        <v>1.4246245029430948E-2</v>
      </c>
      <c r="D69">
        <v>65.016250999999997</v>
      </c>
      <c r="E69" s="3">
        <f t="shared" si="1"/>
        <v>1.617891694463669E-2</v>
      </c>
    </row>
    <row r="70" spans="1:5" x14ac:dyDescent="0.35">
      <c r="A70" s="43">
        <v>43367</v>
      </c>
      <c r="B70" s="14">
        <v>13082.519531</v>
      </c>
      <c r="C70" s="3">
        <f t="shared" si="2"/>
        <v>-1.1628571881843963E-2</v>
      </c>
      <c r="D70">
        <v>63.002426</v>
      </c>
      <c r="E70" s="3">
        <f t="shared" si="1"/>
        <v>-3.0974179055633266E-2</v>
      </c>
    </row>
    <row r="71" spans="1:5" x14ac:dyDescent="0.35">
      <c r="A71" s="43">
        <v>43374</v>
      </c>
      <c r="B71" s="14">
        <v>12991.950194999999</v>
      </c>
      <c r="C71" s="3">
        <f t="shared" si="2"/>
        <v>-6.9229276352609226E-3</v>
      </c>
      <c r="D71">
        <v>60.894500999999998</v>
      </c>
      <c r="E71" s="3">
        <f t="shared" si="1"/>
        <v>-3.3457838591802846E-2</v>
      </c>
    </row>
    <row r="72" spans="1:5" x14ac:dyDescent="0.35">
      <c r="A72" s="43">
        <v>43381</v>
      </c>
      <c r="B72" s="14">
        <v>12439.419921999999</v>
      </c>
      <c r="C72" s="3">
        <f t="shared" si="2"/>
        <v>-4.2528663111150444E-2</v>
      </c>
      <c r="D72">
        <v>58.852459000000003</v>
      </c>
      <c r="E72" s="3">
        <f t="shared" si="1"/>
        <v>-3.353409530361362E-2</v>
      </c>
    </row>
    <row r="73" spans="1:5" x14ac:dyDescent="0.35">
      <c r="A73" s="43">
        <v>43388</v>
      </c>
      <c r="B73" s="14">
        <v>12457.269531</v>
      </c>
      <c r="C73" s="3">
        <f t="shared" ref="C73:C88" si="3">B73/B72-1</f>
        <v>1.4349229394878815E-3</v>
      </c>
      <c r="D73">
        <v>60.715702</v>
      </c>
      <c r="E73" s="3">
        <f t="shared" si="1"/>
        <v>3.1659560733052761E-2</v>
      </c>
    </row>
    <row r="74" spans="1:5" x14ac:dyDescent="0.35">
      <c r="A74" s="43">
        <v>43395</v>
      </c>
      <c r="B74" s="14">
        <v>11976.950194999999</v>
      </c>
      <c r="C74" s="3">
        <f t="shared" si="3"/>
        <v>-3.8557352781419918E-2</v>
      </c>
      <c r="D74">
        <v>56.440002</v>
      </c>
      <c r="E74" s="3">
        <f t="shared" si="1"/>
        <v>-7.042165138764267E-2</v>
      </c>
    </row>
    <row r="75" spans="1:5" x14ac:dyDescent="0.35">
      <c r="A75" s="43">
        <v>43402</v>
      </c>
      <c r="B75" s="14">
        <v>12321.799805000001</v>
      </c>
      <c r="C75" s="3">
        <f t="shared" si="3"/>
        <v>2.8792773150544182E-2</v>
      </c>
      <c r="D75">
        <v>57.112578999999997</v>
      </c>
      <c r="E75" s="3">
        <f t="shared" si="1"/>
        <v>1.1916672150365848E-2</v>
      </c>
    </row>
    <row r="76" spans="1:5" x14ac:dyDescent="0.35">
      <c r="A76" s="43">
        <v>43409</v>
      </c>
      <c r="B76" s="14">
        <v>12537.530273</v>
      </c>
      <c r="C76" s="3">
        <f t="shared" si="3"/>
        <v>1.7508032220460157E-2</v>
      </c>
      <c r="D76">
        <v>60.437595000000002</v>
      </c>
      <c r="E76" s="3">
        <f t="shared" si="1"/>
        <v>5.8218628158956065E-2</v>
      </c>
    </row>
    <row r="77" spans="1:5" x14ac:dyDescent="0.35">
      <c r="A77" s="43">
        <v>43416</v>
      </c>
      <c r="B77" s="14">
        <v>12400.280273</v>
      </c>
      <c r="C77" s="3">
        <f t="shared" si="3"/>
        <v>-1.0947132091523093E-2</v>
      </c>
      <c r="D77">
        <v>59.907108000000001</v>
      </c>
      <c r="E77" s="3">
        <f t="shared" si="1"/>
        <v>-8.7774339796280465E-3</v>
      </c>
    </row>
    <row r="78" spans="1:5" x14ac:dyDescent="0.35">
      <c r="A78" s="43">
        <v>43423</v>
      </c>
      <c r="B78" s="14">
        <v>12036.240234000001</v>
      </c>
      <c r="C78" s="3">
        <f t="shared" si="3"/>
        <v>-2.9357404105828877E-2</v>
      </c>
      <c r="D78">
        <v>58.524054999999997</v>
      </c>
      <c r="E78" s="3">
        <f t="shared" si="1"/>
        <v>-2.3086626047780556E-2</v>
      </c>
    </row>
    <row r="79" spans="1:5" x14ac:dyDescent="0.35">
      <c r="A79" s="43">
        <v>43430</v>
      </c>
      <c r="B79" s="14">
        <v>12457.549805000001</v>
      </c>
      <c r="C79" s="3">
        <f t="shared" si="3"/>
        <v>3.5003419905983879E-2</v>
      </c>
      <c r="D79">
        <v>60.172351999999997</v>
      </c>
      <c r="E79" s="3">
        <f t="shared" si="1"/>
        <v>2.8164435974233237E-2</v>
      </c>
    </row>
    <row r="80" spans="1:5" x14ac:dyDescent="0.35">
      <c r="A80" s="43">
        <v>43437</v>
      </c>
      <c r="B80" s="14">
        <v>11941.929688</v>
      </c>
      <c r="C80" s="3">
        <f t="shared" si="3"/>
        <v>-4.1390171026492673E-2</v>
      </c>
      <c r="D80">
        <v>59.405037</v>
      </c>
      <c r="E80" s="3">
        <f t="shared" si="1"/>
        <v>-1.2751952923495402E-2</v>
      </c>
    </row>
    <row r="81" spans="1:5" x14ac:dyDescent="0.35">
      <c r="A81" s="43">
        <v>43444</v>
      </c>
      <c r="B81" s="14">
        <v>11755.379883</v>
      </c>
      <c r="C81" s="3">
        <f t="shared" si="3"/>
        <v>-1.5621412106240906E-2</v>
      </c>
      <c r="D81">
        <v>61.735385999999998</v>
      </c>
      <c r="E81" s="3">
        <f t="shared" si="1"/>
        <v>3.9228138179595806E-2</v>
      </c>
    </row>
    <row r="82" spans="1:5" x14ac:dyDescent="0.35">
      <c r="A82" s="43">
        <v>43451</v>
      </c>
      <c r="B82" s="14">
        <v>11036.839844</v>
      </c>
      <c r="C82" s="3">
        <f t="shared" si="3"/>
        <v>-6.1124357200834756E-2</v>
      </c>
      <c r="D82">
        <v>56.752609</v>
      </c>
      <c r="E82" s="3">
        <f t="shared" si="1"/>
        <v>-8.0711846525103104E-2</v>
      </c>
    </row>
    <row r="83" spans="1:5" x14ac:dyDescent="0.35">
      <c r="A83" s="43">
        <v>43458</v>
      </c>
      <c r="B83" s="14">
        <v>11290.950194999999</v>
      </c>
      <c r="C83" s="3">
        <f t="shared" si="3"/>
        <v>2.3023832418674006E-2</v>
      </c>
      <c r="D83">
        <v>56.477890000000002</v>
      </c>
      <c r="E83" s="3">
        <f t="shared" si="1"/>
        <v>-4.840640894588577E-3</v>
      </c>
    </row>
    <row r="84" spans="1:5" x14ac:dyDescent="0.35">
      <c r="A84" s="43">
        <v>43465</v>
      </c>
      <c r="B84" s="14">
        <v>11533.339844</v>
      </c>
      <c r="C84" s="3">
        <f t="shared" si="3"/>
        <v>2.1467604126651718E-2</v>
      </c>
      <c r="D84">
        <v>56.383163000000003</v>
      </c>
      <c r="E84" s="3">
        <f t="shared" si="1"/>
        <v>-1.6772404209859371E-3</v>
      </c>
    </row>
    <row r="85" spans="1:5" x14ac:dyDescent="0.35">
      <c r="A85" s="43">
        <v>43472</v>
      </c>
      <c r="B85" s="14">
        <v>11848.009765999999</v>
      </c>
      <c r="C85" s="3">
        <f t="shared" si="3"/>
        <v>2.7283503846780244E-2</v>
      </c>
      <c r="D85">
        <v>58.827193999999999</v>
      </c>
      <c r="E85" s="3">
        <f t="shared" si="1"/>
        <v>4.3346823235156151E-2</v>
      </c>
    </row>
    <row r="86" spans="1:5" x14ac:dyDescent="0.35">
      <c r="A86" s="43">
        <v>43479</v>
      </c>
      <c r="B86" s="14">
        <v>12151.769531</v>
      </c>
      <c r="C86" s="3">
        <f t="shared" si="3"/>
        <v>2.5638041409426826E-2</v>
      </c>
      <c r="D86">
        <v>59.329253999999999</v>
      </c>
      <c r="E86" s="3">
        <f t="shared" si="1"/>
        <v>8.5344883184468312E-3</v>
      </c>
    </row>
    <row r="87" spans="1:5" x14ac:dyDescent="0.35">
      <c r="A87" s="43">
        <v>43486</v>
      </c>
      <c r="B87" s="14">
        <v>12127.25</v>
      </c>
      <c r="C87" s="3">
        <f t="shared" si="3"/>
        <v>-2.0177745255494095E-3</v>
      </c>
      <c r="D87">
        <v>58.580886999999997</v>
      </c>
      <c r="E87" s="3">
        <f t="shared" si="1"/>
        <v>-1.2613794200075468E-2</v>
      </c>
    </row>
    <row r="88" spans="1:5" x14ac:dyDescent="0.35">
      <c r="A88" s="43">
        <v>43493</v>
      </c>
      <c r="B88" s="14">
        <v>12329.690430000001</v>
      </c>
      <c r="C88" s="3">
        <f t="shared" si="3"/>
        <v>1.6693020264280989E-2</v>
      </c>
      <c r="D88">
        <v>62.037750000000003</v>
      </c>
      <c r="E88" s="3">
        <f t="shared" si="1"/>
        <v>5.9010082930291086E-2</v>
      </c>
    </row>
    <row r="89" spans="1:5" x14ac:dyDescent="0.35">
      <c r="A89" s="43">
        <v>43500</v>
      </c>
      <c r="B89" s="14">
        <v>12292.139648</v>
      </c>
      <c r="C89" s="3">
        <f t="shared" ref="C89:C104" si="4">B89/B88-1</f>
        <v>-3.0455575679850799E-3</v>
      </c>
      <c r="D89">
        <v>62.648105999999999</v>
      </c>
      <c r="E89" s="3">
        <f t="shared" si="1"/>
        <v>9.8384612594750731E-3</v>
      </c>
    </row>
    <row r="90" spans="1:5" x14ac:dyDescent="0.35">
      <c r="A90" s="43">
        <v>43507</v>
      </c>
      <c r="B90" s="14">
        <v>12603.469727</v>
      </c>
      <c r="C90" s="3">
        <f t="shared" si="4"/>
        <v>2.532757419906595E-2</v>
      </c>
      <c r="D90">
        <v>63.401524000000002</v>
      </c>
      <c r="E90" s="3">
        <f t="shared" si="1"/>
        <v>1.2026189586641367E-2</v>
      </c>
    </row>
    <row r="91" spans="1:5" x14ac:dyDescent="0.35">
      <c r="A91" s="43">
        <v>43514</v>
      </c>
      <c r="B91" s="14">
        <v>12694.519531</v>
      </c>
      <c r="C91" s="3">
        <f t="shared" si="4"/>
        <v>7.2241855593897508E-3</v>
      </c>
      <c r="D91">
        <v>63.802086000000003</v>
      </c>
      <c r="E91" s="3">
        <f t="shared" si="1"/>
        <v>6.3178607504765782E-3</v>
      </c>
    </row>
    <row r="92" spans="1:5" x14ac:dyDescent="0.35">
      <c r="A92" s="43">
        <v>43521</v>
      </c>
      <c r="B92" s="14">
        <v>12700.669921999999</v>
      </c>
      <c r="C92" s="3">
        <f t="shared" si="4"/>
        <v>4.8449183011456398E-4</v>
      </c>
      <c r="D92">
        <v>62.943756</v>
      </c>
      <c r="E92" s="3">
        <f t="shared" si="1"/>
        <v>-1.3453008417311008E-2</v>
      </c>
    </row>
    <row r="93" spans="1:5" x14ac:dyDescent="0.35">
      <c r="A93" s="43">
        <v>43528</v>
      </c>
      <c r="B93" s="14">
        <v>12415.129883</v>
      </c>
      <c r="C93" s="3">
        <f t="shared" si="4"/>
        <v>-2.2482281702746243E-2</v>
      </c>
      <c r="D93">
        <v>62.323853</v>
      </c>
      <c r="E93" s="3">
        <f t="shared" si="1"/>
        <v>-9.8485225444761015E-3</v>
      </c>
    </row>
    <row r="94" spans="1:5" x14ac:dyDescent="0.35">
      <c r="A94" s="43">
        <v>43535</v>
      </c>
      <c r="B94" s="14">
        <v>12715.769531</v>
      </c>
      <c r="C94" s="3">
        <f t="shared" si="4"/>
        <v>2.4215586210794671E-2</v>
      </c>
      <c r="D94">
        <v>64.088188000000002</v>
      </c>
      <c r="E94" s="3">
        <f t="shared" si="1"/>
        <v>2.8309145135811953E-2</v>
      </c>
    </row>
    <row r="95" spans="1:5" x14ac:dyDescent="0.35">
      <c r="A95" s="43">
        <v>43542</v>
      </c>
      <c r="B95" s="14">
        <v>12539.410156</v>
      </c>
      <c r="C95" s="3">
        <f t="shared" si="4"/>
        <v>-1.3869343461286432E-2</v>
      </c>
      <c r="D95">
        <v>62.943756</v>
      </c>
      <c r="E95" s="3">
        <f t="shared" si="1"/>
        <v>-1.7857143971678591E-2</v>
      </c>
    </row>
    <row r="96" spans="1:5" x14ac:dyDescent="0.35">
      <c r="A96" s="43">
        <v>43549</v>
      </c>
      <c r="B96" s="14">
        <v>12696.879883</v>
      </c>
      <c r="C96" s="3">
        <f t="shared" si="4"/>
        <v>1.2557985187577003E-2</v>
      </c>
      <c r="D96">
        <v>65.366127000000006</v>
      </c>
      <c r="E96" s="3">
        <f t="shared" si="1"/>
        <v>3.8484690999374127E-2</v>
      </c>
    </row>
    <row r="97" spans="1:5" x14ac:dyDescent="0.35">
      <c r="A97" s="43">
        <v>43556</v>
      </c>
      <c r="B97" s="14">
        <v>12927.719727</v>
      </c>
      <c r="C97" s="3">
        <f t="shared" si="4"/>
        <v>1.8180832308973383E-2</v>
      </c>
      <c r="D97">
        <v>64.774840999999995</v>
      </c>
      <c r="E97" s="3">
        <f t="shared" si="1"/>
        <v>-9.045755456798199E-3</v>
      </c>
    </row>
    <row r="98" spans="1:5" x14ac:dyDescent="0.35">
      <c r="A98" s="43">
        <v>43563</v>
      </c>
      <c r="B98" s="14">
        <v>12969.540039</v>
      </c>
      <c r="C98" s="3">
        <f t="shared" si="4"/>
        <v>3.2349333744183806E-3</v>
      </c>
      <c r="D98">
        <v>65.585487000000001</v>
      </c>
      <c r="E98" s="3">
        <f t="shared" si="1"/>
        <v>1.2514828095062436E-2</v>
      </c>
    </row>
    <row r="99" spans="1:5" x14ac:dyDescent="0.35">
      <c r="A99" s="43">
        <v>43570</v>
      </c>
      <c r="B99" s="14">
        <v>12922.709961</v>
      </c>
      <c r="C99" s="3">
        <f t="shared" si="4"/>
        <v>-3.6107740027154778E-3</v>
      </c>
      <c r="D99">
        <v>66.138626000000002</v>
      </c>
      <c r="E99" s="3">
        <f t="shared" si="1"/>
        <v>8.4338628148024064E-3</v>
      </c>
    </row>
    <row r="100" spans="1:5" x14ac:dyDescent="0.35">
      <c r="A100" s="43">
        <v>43577</v>
      </c>
      <c r="B100" s="14">
        <v>12991.200194999999</v>
      </c>
      <c r="C100" s="3">
        <f t="shared" si="4"/>
        <v>5.2999900335686245E-3</v>
      </c>
      <c r="D100">
        <v>68.424492000000001</v>
      </c>
      <c r="E100" s="3">
        <f t="shared" si="1"/>
        <v>3.456174006396795E-2</v>
      </c>
    </row>
    <row r="101" spans="1:5" x14ac:dyDescent="0.35">
      <c r="A101" s="43">
        <v>43584</v>
      </c>
      <c r="B101" s="14">
        <v>13037.879883</v>
      </c>
      <c r="C101" s="3">
        <f t="shared" si="4"/>
        <v>3.5931774816284623E-3</v>
      </c>
      <c r="D101">
        <v>69.048271</v>
      </c>
      <c r="E101" s="3">
        <f t="shared" si="1"/>
        <v>9.1163117440462571E-3</v>
      </c>
    </row>
    <row r="102" spans="1:5" x14ac:dyDescent="0.35">
      <c r="A102" s="43">
        <v>43591</v>
      </c>
      <c r="B102" s="14">
        <v>12788.139648</v>
      </c>
      <c r="C102" s="3">
        <f t="shared" si="4"/>
        <v>-1.9154972836161299E-2</v>
      </c>
      <c r="D102">
        <v>68.616432000000003</v>
      </c>
      <c r="E102" s="3">
        <f t="shared" si="1"/>
        <v>-6.2541609477809734E-3</v>
      </c>
    </row>
    <row r="103" spans="1:5" x14ac:dyDescent="0.35">
      <c r="A103" s="43">
        <v>43598</v>
      </c>
      <c r="B103" s="14">
        <v>12657.629883</v>
      </c>
      <c r="C103" s="3">
        <f t="shared" si="4"/>
        <v>-1.0205531734274742E-2</v>
      </c>
      <c r="D103">
        <v>69.067466999999994</v>
      </c>
      <c r="E103" s="3">
        <f t="shared" si="1"/>
        <v>6.5732797065285453E-3</v>
      </c>
    </row>
    <row r="104" spans="1:5" x14ac:dyDescent="0.35">
      <c r="A104" s="43">
        <v>43605</v>
      </c>
      <c r="B104" s="14">
        <v>12581.360352</v>
      </c>
      <c r="C104" s="3">
        <f t="shared" si="4"/>
        <v>-6.0255775927241517E-3</v>
      </c>
      <c r="D104">
        <v>68.328529000000003</v>
      </c>
      <c r="E104" s="3">
        <f t="shared" si="1"/>
        <v>-1.0698785290620072E-2</v>
      </c>
    </row>
    <row r="105" spans="1:5" x14ac:dyDescent="0.35">
      <c r="A105" s="43">
        <v>43612</v>
      </c>
      <c r="B105" s="14">
        <v>12264.490234000001</v>
      </c>
      <c r="C105" s="3">
        <f t="shared" ref="C105:C120" si="5">B105/B104-1</f>
        <v>-2.5185680175643932E-2</v>
      </c>
      <c r="D105">
        <v>66.812247999999997</v>
      </c>
      <c r="E105" s="3">
        <f t="shared" ref="E105:E168" si="6">D105/D104-1</f>
        <v>-2.2191038241142436E-2</v>
      </c>
    </row>
    <row r="106" spans="1:5" x14ac:dyDescent="0.35">
      <c r="A106" s="43">
        <v>43619</v>
      </c>
      <c r="B106" s="14">
        <v>12765.860352</v>
      </c>
      <c r="C106" s="3">
        <f t="shared" si="5"/>
        <v>4.0879817133376184E-2</v>
      </c>
      <c r="D106">
        <v>71.006004000000004</v>
      </c>
      <c r="E106" s="3">
        <f t="shared" si="6"/>
        <v>6.2769269490827506E-2</v>
      </c>
    </row>
    <row r="107" spans="1:5" x14ac:dyDescent="0.35">
      <c r="A107" s="43">
        <v>43626</v>
      </c>
      <c r="B107" s="14">
        <v>12787.240234000001</v>
      </c>
      <c r="C107" s="3">
        <f t="shared" si="5"/>
        <v>1.6747701612334076E-3</v>
      </c>
      <c r="D107">
        <v>70.391823000000002</v>
      </c>
      <c r="E107" s="3">
        <f t="shared" si="6"/>
        <v>-8.6497051714106155E-3</v>
      </c>
    </row>
    <row r="108" spans="1:5" x14ac:dyDescent="0.35">
      <c r="A108" s="43">
        <v>43633</v>
      </c>
      <c r="B108" s="14">
        <v>13047.240234000001</v>
      </c>
      <c r="C108" s="3">
        <f t="shared" si="5"/>
        <v>2.0332768857246108E-2</v>
      </c>
      <c r="D108">
        <v>70.007942</v>
      </c>
      <c r="E108" s="3">
        <f t="shared" si="6"/>
        <v>-5.4534885394288413E-3</v>
      </c>
    </row>
    <row r="109" spans="1:5" x14ac:dyDescent="0.35">
      <c r="A109" s="43">
        <v>43640</v>
      </c>
      <c r="B109" s="14">
        <v>13049.709961</v>
      </c>
      <c r="C109" s="3">
        <f t="shared" si="5"/>
        <v>1.8929114170540551E-4</v>
      </c>
      <c r="D109">
        <v>68.779572000000002</v>
      </c>
      <c r="E109" s="3">
        <f t="shared" si="6"/>
        <v>-1.7546152120855085E-2</v>
      </c>
    </row>
    <row r="110" spans="1:5" x14ac:dyDescent="0.35">
      <c r="A110" s="43">
        <v>43647</v>
      </c>
      <c r="B110" s="14">
        <v>13210.910156</v>
      </c>
      <c r="C110" s="3">
        <f t="shared" si="5"/>
        <v>1.2352779907121247E-2</v>
      </c>
      <c r="D110">
        <v>70.190291999999999</v>
      </c>
      <c r="E110" s="3">
        <f t="shared" si="6"/>
        <v>2.0510741183443315E-2</v>
      </c>
    </row>
    <row r="111" spans="1:5" x14ac:dyDescent="0.35">
      <c r="A111" s="43">
        <v>43654</v>
      </c>
      <c r="B111" s="14">
        <v>13234.759765999999</v>
      </c>
      <c r="C111" s="3">
        <f t="shared" si="5"/>
        <v>1.805296510109633E-3</v>
      </c>
      <c r="D111">
        <v>71.380272000000005</v>
      </c>
      <c r="E111" s="3">
        <f t="shared" si="6"/>
        <v>1.6953626578444903E-2</v>
      </c>
    </row>
    <row r="112" spans="1:5" x14ac:dyDescent="0.35">
      <c r="A112" s="43">
        <v>43661</v>
      </c>
      <c r="B112" s="14">
        <v>13111.990234000001</v>
      </c>
      <c r="C112" s="3">
        <f t="shared" si="5"/>
        <v>-9.2762947095867965E-3</v>
      </c>
      <c r="D112">
        <v>69.768028000000001</v>
      </c>
      <c r="E112" s="3">
        <f t="shared" si="6"/>
        <v>-2.2586688938366684E-2</v>
      </c>
    </row>
    <row r="113" spans="1:5" x14ac:dyDescent="0.35">
      <c r="A113" s="43">
        <v>43668</v>
      </c>
      <c r="B113" s="14">
        <v>13235.5</v>
      </c>
      <c r="C113" s="3">
        <f t="shared" si="5"/>
        <v>9.4196047888850387E-3</v>
      </c>
      <c r="D113">
        <v>71.128647000000001</v>
      </c>
      <c r="E113" s="3">
        <f t="shared" si="6"/>
        <v>1.9502041823512561E-2</v>
      </c>
    </row>
    <row r="114" spans="1:5" x14ac:dyDescent="0.35">
      <c r="A114" s="43">
        <v>43675</v>
      </c>
      <c r="B114" s="14">
        <v>12839.509765999999</v>
      </c>
      <c r="C114" s="3">
        <f t="shared" si="5"/>
        <v>-2.991879672094E-2</v>
      </c>
      <c r="D114">
        <v>68.725189</v>
      </c>
      <c r="E114" s="3">
        <f t="shared" si="6"/>
        <v>-3.3790295490929267E-2</v>
      </c>
    </row>
    <row r="115" spans="1:5" x14ac:dyDescent="0.35">
      <c r="A115" s="43">
        <v>43682</v>
      </c>
      <c r="B115" s="14">
        <v>12748.419921999999</v>
      </c>
      <c r="C115" s="3">
        <f t="shared" si="5"/>
        <v>-7.0944954799764259E-3</v>
      </c>
      <c r="D115">
        <v>69.034064999999998</v>
      </c>
      <c r="E115" s="3">
        <f t="shared" si="6"/>
        <v>4.4943637768679601E-3</v>
      </c>
    </row>
    <row r="116" spans="1:5" x14ac:dyDescent="0.35">
      <c r="A116" s="43">
        <v>43689</v>
      </c>
      <c r="B116" s="14">
        <v>12580.410156</v>
      </c>
      <c r="C116" s="3">
        <f t="shared" si="5"/>
        <v>-1.3178869775858582E-2</v>
      </c>
      <c r="D116">
        <v>69.767653999999993</v>
      </c>
      <c r="E116" s="3">
        <f t="shared" si="6"/>
        <v>1.0626478391501326E-2</v>
      </c>
    </row>
    <row r="117" spans="1:5" x14ac:dyDescent="0.35">
      <c r="A117" s="43">
        <v>43696</v>
      </c>
      <c r="B117" s="14">
        <v>12416.450194999999</v>
      </c>
      <c r="C117" s="3">
        <f t="shared" si="5"/>
        <v>-1.3032958303176079E-2</v>
      </c>
      <c r="D117">
        <v>69.719397999999998</v>
      </c>
      <c r="E117" s="3">
        <f t="shared" si="6"/>
        <v>-6.9166723020375187E-4</v>
      </c>
    </row>
    <row r="118" spans="1:5" x14ac:dyDescent="0.35">
      <c r="A118" s="43">
        <v>43703</v>
      </c>
      <c r="B118" s="14">
        <v>12736.879883</v>
      </c>
      <c r="C118" s="3">
        <f t="shared" si="5"/>
        <v>2.5806867741396289E-2</v>
      </c>
      <c r="D118">
        <v>71.572661999999994</v>
      </c>
      <c r="E118" s="3">
        <f t="shared" si="6"/>
        <v>2.6581755625600723E-2</v>
      </c>
    </row>
    <row r="119" spans="1:5" x14ac:dyDescent="0.35">
      <c r="A119" s="43">
        <v>43710</v>
      </c>
      <c r="B119" s="14">
        <v>12933.379883</v>
      </c>
      <c r="C119" s="3">
        <f t="shared" si="5"/>
        <v>1.5427640191713721E-2</v>
      </c>
      <c r="D119">
        <v>72.103538999999998</v>
      </c>
      <c r="E119" s="3">
        <f t="shared" si="6"/>
        <v>7.4173152872252235E-3</v>
      </c>
    </row>
    <row r="120" spans="1:5" x14ac:dyDescent="0.35">
      <c r="A120" s="43">
        <v>43717</v>
      </c>
      <c r="B120" s="14">
        <v>13124.339844</v>
      </c>
      <c r="C120" s="3">
        <f t="shared" si="5"/>
        <v>1.4764892296328824E-2</v>
      </c>
      <c r="D120">
        <v>68.252212999999998</v>
      </c>
      <c r="E120" s="3">
        <f t="shared" si="6"/>
        <v>-5.3413827579253725E-2</v>
      </c>
    </row>
    <row r="121" spans="1:5" x14ac:dyDescent="0.35">
      <c r="A121" s="43">
        <v>43724</v>
      </c>
      <c r="B121" s="14">
        <v>13093.799805000001</v>
      </c>
      <c r="C121" s="3">
        <f t="shared" ref="C121:C136" si="7">B121/B120-1</f>
        <v>-2.3269771556518881E-3</v>
      </c>
      <c r="D121">
        <v>68.483879000000002</v>
      </c>
      <c r="E121" s="3">
        <f t="shared" si="6"/>
        <v>3.3942635676882382E-3</v>
      </c>
    </row>
    <row r="122" spans="1:5" x14ac:dyDescent="0.35">
      <c r="A122" s="43">
        <v>43731</v>
      </c>
      <c r="B122" s="14">
        <v>12971.980469</v>
      </c>
      <c r="C122" s="3">
        <f t="shared" si="7"/>
        <v>-9.3035893181658835E-3</v>
      </c>
      <c r="D122">
        <v>70.7136</v>
      </c>
      <c r="E122" s="3">
        <f t="shared" si="6"/>
        <v>3.2558333910963189E-2</v>
      </c>
    </row>
    <row r="123" spans="1:5" x14ac:dyDescent="0.35">
      <c r="A123" s="43">
        <v>43738</v>
      </c>
      <c r="B123" s="14">
        <v>12831.549805000001</v>
      </c>
      <c r="C123" s="3">
        <f t="shared" si="7"/>
        <v>-1.0825691908463497E-2</v>
      </c>
      <c r="D123">
        <v>69.564957000000007</v>
      </c>
      <c r="E123" s="3">
        <f t="shared" si="6"/>
        <v>-1.624359387727381E-2</v>
      </c>
    </row>
    <row r="124" spans="1:5" x14ac:dyDescent="0.35">
      <c r="A124" s="43">
        <v>43745</v>
      </c>
      <c r="B124" s="14">
        <v>12926.919921999999</v>
      </c>
      <c r="C124" s="3">
        <f t="shared" si="7"/>
        <v>7.4324706250865624E-3</v>
      </c>
      <c r="D124">
        <v>68.059189000000003</v>
      </c>
      <c r="E124" s="3">
        <f t="shared" si="6"/>
        <v>-2.1645496021797328E-2</v>
      </c>
    </row>
    <row r="125" spans="1:5" x14ac:dyDescent="0.35">
      <c r="A125" s="43">
        <v>43752</v>
      </c>
      <c r="B125" s="14">
        <v>13006.639648</v>
      </c>
      <c r="C125" s="3">
        <f t="shared" si="7"/>
        <v>6.1669544238707186E-3</v>
      </c>
      <c r="D125">
        <v>65.665381999999994</v>
      </c>
      <c r="E125" s="3">
        <f t="shared" si="6"/>
        <v>-3.5172429104319947E-2</v>
      </c>
    </row>
    <row r="126" spans="1:5" x14ac:dyDescent="0.35">
      <c r="A126" s="43">
        <v>43759</v>
      </c>
      <c r="B126" s="14">
        <v>13146.240234000001</v>
      </c>
      <c r="C126" s="3">
        <f t="shared" si="7"/>
        <v>1.0733024807177305E-2</v>
      </c>
      <c r="D126">
        <v>66.032173</v>
      </c>
      <c r="E126" s="3">
        <f t="shared" si="6"/>
        <v>5.5857590229202447E-3</v>
      </c>
    </row>
    <row r="127" spans="1:5" x14ac:dyDescent="0.35">
      <c r="A127" s="43">
        <v>43766</v>
      </c>
      <c r="B127" s="14">
        <v>13300.269531</v>
      </c>
      <c r="C127" s="3">
        <f t="shared" si="7"/>
        <v>1.1716604463201108E-2</v>
      </c>
      <c r="D127">
        <v>64.896355</v>
      </c>
      <c r="E127" s="3">
        <f t="shared" si="6"/>
        <v>-1.7200978680498635E-2</v>
      </c>
    </row>
    <row r="128" spans="1:5" x14ac:dyDescent="0.35">
      <c r="A128" s="43">
        <v>43773</v>
      </c>
      <c r="B128" s="14">
        <v>13407.799805000001</v>
      </c>
      <c r="C128" s="3">
        <f t="shared" si="7"/>
        <v>8.0848191647071577E-3</v>
      </c>
      <c r="D128">
        <v>64.721512000000004</v>
      </c>
      <c r="E128" s="3">
        <f t="shared" si="6"/>
        <v>-2.6941882945504814E-3</v>
      </c>
    </row>
    <row r="129" spans="1:5" x14ac:dyDescent="0.35">
      <c r="A129" s="43">
        <v>43780</v>
      </c>
      <c r="B129" s="14">
        <v>13492.959961</v>
      </c>
      <c r="C129" s="3">
        <f t="shared" si="7"/>
        <v>6.3515384506442896E-3</v>
      </c>
      <c r="D129">
        <v>64.468964</v>
      </c>
      <c r="E129" s="3">
        <f t="shared" si="6"/>
        <v>-3.9020720035094492E-3</v>
      </c>
    </row>
    <row r="130" spans="1:5" x14ac:dyDescent="0.35">
      <c r="A130" s="43">
        <v>43787</v>
      </c>
      <c r="B130" s="14">
        <v>13440.950194999999</v>
      </c>
      <c r="C130" s="3">
        <f t="shared" si="7"/>
        <v>-3.8545853652816042E-3</v>
      </c>
      <c r="D130">
        <v>64.799216999999999</v>
      </c>
      <c r="E130" s="3">
        <f t="shared" si="6"/>
        <v>5.1226664663015509E-3</v>
      </c>
    </row>
    <row r="131" spans="1:5" x14ac:dyDescent="0.35">
      <c r="A131" s="43">
        <v>43794</v>
      </c>
      <c r="B131" s="14">
        <v>13545.209961</v>
      </c>
      <c r="C131" s="3">
        <f t="shared" si="7"/>
        <v>7.7568746619405271E-3</v>
      </c>
      <c r="D131">
        <v>65.877426</v>
      </c>
      <c r="E131" s="3">
        <f t="shared" si="6"/>
        <v>1.6639228835126252E-2</v>
      </c>
    </row>
    <row r="132" spans="1:5" x14ac:dyDescent="0.35">
      <c r="A132" s="43">
        <v>43801</v>
      </c>
      <c r="B132" s="14">
        <v>13588.290039</v>
      </c>
      <c r="C132" s="3">
        <f t="shared" si="7"/>
        <v>3.1804658712590861E-3</v>
      </c>
      <c r="D132">
        <v>66.285392999999999</v>
      </c>
      <c r="E132" s="3">
        <f t="shared" si="6"/>
        <v>6.1928193733615799E-3</v>
      </c>
    </row>
    <row r="133" spans="1:5" x14ac:dyDescent="0.35">
      <c r="A133" s="43">
        <v>43808</v>
      </c>
      <c r="B133" s="14">
        <v>13697.339844</v>
      </c>
      <c r="C133" s="3">
        <f t="shared" si="7"/>
        <v>8.0252779920810813E-3</v>
      </c>
      <c r="D133">
        <v>66.722510999999997</v>
      </c>
      <c r="E133" s="3">
        <f t="shared" si="6"/>
        <v>6.5944845495597981E-3</v>
      </c>
    </row>
    <row r="134" spans="1:5" x14ac:dyDescent="0.35">
      <c r="A134" s="43">
        <v>43815</v>
      </c>
      <c r="B134" s="14">
        <v>13889.25</v>
      </c>
      <c r="C134" s="3">
        <f t="shared" si="7"/>
        <v>1.4010761081033163E-2</v>
      </c>
      <c r="D134">
        <v>66.877914000000004</v>
      </c>
      <c r="E134" s="3">
        <f t="shared" si="6"/>
        <v>2.3290939994751181E-3</v>
      </c>
    </row>
    <row r="135" spans="1:5" x14ac:dyDescent="0.35">
      <c r="A135" s="43">
        <v>43822</v>
      </c>
      <c r="B135" s="14">
        <v>13944.139648</v>
      </c>
      <c r="C135" s="3">
        <f t="shared" si="7"/>
        <v>3.9519519052504393E-3</v>
      </c>
      <c r="D135">
        <v>67.198463000000004</v>
      </c>
      <c r="E135" s="3">
        <f t="shared" si="6"/>
        <v>4.7930472233328469E-3</v>
      </c>
    </row>
    <row r="136" spans="1:5" x14ac:dyDescent="0.35">
      <c r="A136" s="43">
        <v>43829</v>
      </c>
      <c r="B136" s="14">
        <v>13917.049805000001</v>
      </c>
      <c r="C136" s="3">
        <f t="shared" si="7"/>
        <v>-1.9427403686311795E-3</v>
      </c>
      <c r="D136">
        <v>66.071701000000004</v>
      </c>
      <c r="E136" s="3">
        <f t="shared" si="6"/>
        <v>-1.6767675177332575E-2</v>
      </c>
    </row>
    <row r="137" spans="1:5" x14ac:dyDescent="0.35">
      <c r="A137" s="43">
        <v>43836</v>
      </c>
      <c r="B137" s="14">
        <v>13957.969727</v>
      </c>
      <c r="C137" s="3">
        <f t="shared" ref="C137:C152" si="8">B137/B136-1</f>
        <v>2.9402727282974439E-3</v>
      </c>
      <c r="D137">
        <v>68.140693999999996</v>
      </c>
      <c r="E137" s="3">
        <f t="shared" si="6"/>
        <v>3.1314359531927183E-2</v>
      </c>
    </row>
    <row r="138" spans="1:5" x14ac:dyDescent="0.35">
      <c r="A138" s="43">
        <v>43843</v>
      </c>
      <c r="B138" s="14">
        <v>14183.200194999999</v>
      </c>
      <c r="C138" s="3">
        <f t="shared" si="8"/>
        <v>1.6136334467348634E-2</v>
      </c>
      <c r="D138">
        <v>69.141182000000001</v>
      </c>
      <c r="E138" s="3">
        <f t="shared" si="6"/>
        <v>1.4682679926917075E-2</v>
      </c>
    </row>
    <row r="139" spans="1:5" x14ac:dyDescent="0.35">
      <c r="A139" s="43">
        <v>43850</v>
      </c>
      <c r="B139" s="14">
        <v>13978.469727</v>
      </c>
      <c r="C139" s="3">
        <f t="shared" si="8"/>
        <v>-1.4434716085596322E-2</v>
      </c>
      <c r="D139">
        <v>68.2864</v>
      </c>
      <c r="E139" s="3">
        <f t="shared" si="6"/>
        <v>-1.2362849104893825E-2</v>
      </c>
    </row>
    <row r="140" spans="1:5" x14ac:dyDescent="0.35">
      <c r="A140" s="43">
        <v>43857</v>
      </c>
      <c r="B140" s="14">
        <v>13614.099609000001</v>
      </c>
      <c r="C140" s="3">
        <f t="shared" si="8"/>
        <v>-2.6066524098571575E-2</v>
      </c>
      <c r="D140">
        <v>72.101607999999999</v>
      </c>
      <c r="E140" s="3">
        <f t="shared" si="6"/>
        <v>5.5870685817380972E-2</v>
      </c>
    </row>
    <row r="141" spans="1:5" x14ac:dyDescent="0.35">
      <c r="A141" s="43">
        <v>43864</v>
      </c>
      <c r="B141" s="14">
        <v>13931.929688</v>
      </c>
      <c r="C141" s="3">
        <f t="shared" si="8"/>
        <v>2.3345655469561022E-2</v>
      </c>
      <c r="D141">
        <v>74.300422999999995</v>
      </c>
      <c r="E141" s="3">
        <f t="shared" si="6"/>
        <v>3.0496060503948819E-2</v>
      </c>
    </row>
    <row r="142" spans="1:5" x14ac:dyDescent="0.35">
      <c r="A142" s="43">
        <v>43871</v>
      </c>
      <c r="B142" s="14">
        <v>14097.339844</v>
      </c>
      <c r="C142" s="3">
        <f t="shared" si="8"/>
        <v>1.1872738357449064E-2</v>
      </c>
      <c r="D142">
        <v>74.945412000000005</v>
      </c>
      <c r="E142" s="3">
        <f t="shared" si="6"/>
        <v>8.6808254106440774E-3</v>
      </c>
    </row>
    <row r="143" spans="1:5" x14ac:dyDescent="0.35">
      <c r="A143" s="43">
        <v>43878</v>
      </c>
      <c r="B143" s="14">
        <v>13975.780273</v>
      </c>
      <c r="C143" s="3">
        <f t="shared" si="8"/>
        <v>-8.6228729920090341E-3</v>
      </c>
      <c r="D143">
        <v>74.534965999999997</v>
      </c>
      <c r="E143" s="3">
        <f t="shared" si="6"/>
        <v>-5.4765994214563962E-3</v>
      </c>
    </row>
    <row r="144" spans="1:5" x14ac:dyDescent="0.35">
      <c r="A144" s="43">
        <v>43885</v>
      </c>
      <c r="B144" s="14">
        <v>12380.969727</v>
      </c>
      <c r="C144" s="3">
        <f t="shared" si="8"/>
        <v>-0.11411245131558323</v>
      </c>
      <c r="D144">
        <v>66.032882999999998</v>
      </c>
      <c r="E144" s="3">
        <f t="shared" si="6"/>
        <v>-0.11406838234822569</v>
      </c>
    </row>
    <row r="145" spans="1:5" x14ac:dyDescent="0.35">
      <c r="A145" s="43">
        <v>43892</v>
      </c>
      <c r="B145" s="14">
        <v>12352.030273</v>
      </c>
      <c r="C145" s="3">
        <f t="shared" si="8"/>
        <v>-2.3374141636812729E-3</v>
      </c>
      <c r="D145">
        <v>70.860496999999995</v>
      </c>
      <c r="E145" s="3">
        <f t="shared" si="6"/>
        <v>7.3109241648588785E-2</v>
      </c>
    </row>
    <row r="146" spans="1:5" x14ac:dyDescent="0.35">
      <c r="A146" s="43">
        <v>43899</v>
      </c>
      <c r="B146" s="14">
        <v>10851.740234000001</v>
      </c>
      <c r="C146" s="3">
        <f t="shared" si="8"/>
        <v>-0.12146100728715392</v>
      </c>
      <c r="D146">
        <v>67.528075999999999</v>
      </c>
      <c r="E146" s="3">
        <f t="shared" si="6"/>
        <v>-4.7027908934931695E-2</v>
      </c>
    </row>
    <row r="147" spans="1:5" x14ac:dyDescent="0.35">
      <c r="A147" s="43">
        <v>43906</v>
      </c>
      <c r="B147" s="14">
        <v>9133.1601559999999</v>
      </c>
      <c r="C147" s="3">
        <f t="shared" si="8"/>
        <v>-0.15836907638237152</v>
      </c>
      <c r="D147">
        <v>60.667766999999998</v>
      </c>
      <c r="E147" s="3">
        <f t="shared" si="6"/>
        <v>-0.10159195117598196</v>
      </c>
    </row>
    <row r="148" spans="1:5" x14ac:dyDescent="0.35">
      <c r="A148" s="43">
        <v>43913</v>
      </c>
      <c r="B148" s="14">
        <v>10187.209961</v>
      </c>
      <c r="C148" s="3">
        <f t="shared" si="8"/>
        <v>0.11540910123070014</v>
      </c>
      <c r="D148">
        <v>63.775429000000003</v>
      </c>
      <c r="E148" s="3">
        <f t="shared" si="6"/>
        <v>5.1224268729060052E-2</v>
      </c>
    </row>
    <row r="149" spans="1:5" x14ac:dyDescent="0.35">
      <c r="A149" s="43">
        <v>43920</v>
      </c>
      <c r="B149" s="14">
        <v>9880.6298829999996</v>
      </c>
      <c r="C149" s="3">
        <f t="shared" si="8"/>
        <v>-3.0094606783770073E-2</v>
      </c>
      <c r="D149">
        <v>66.081733999999997</v>
      </c>
      <c r="E149" s="3">
        <f t="shared" si="6"/>
        <v>3.6162908445507957E-2</v>
      </c>
    </row>
    <row r="150" spans="1:5" x14ac:dyDescent="0.35">
      <c r="A150" s="43">
        <v>43927</v>
      </c>
      <c r="B150" s="14">
        <v>11136.610352</v>
      </c>
      <c r="C150" s="3">
        <f t="shared" si="8"/>
        <v>0.12711542521807861</v>
      </c>
      <c r="D150">
        <v>68.319641000000004</v>
      </c>
      <c r="E150" s="3">
        <f t="shared" si="6"/>
        <v>3.3865742687684497E-2</v>
      </c>
    </row>
    <row r="151" spans="1:5" x14ac:dyDescent="0.35">
      <c r="A151" s="43">
        <v>43934</v>
      </c>
      <c r="B151" s="14">
        <v>11208.290039</v>
      </c>
      <c r="C151" s="3">
        <f t="shared" si="8"/>
        <v>6.4364007300594661E-3</v>
      </c>
      <c r="D151">
        <v>71.749802000000003</v>
      </c>
      <c r="E151" s="3">
        <f t="shared" si="6"/>
        <v>5.0207538414904773E-2</v>
      </c>
    </row>
    <row r="152" spans="1:5" x14ac:dyDescent="0.35">
      <c r="A152" s="43">
        <v>43941</v>
      </c>
      <c r="B152" s="14">
        <v>11017.900390999999</v>
      </c>
      <c r="C152" s="3">
        <f t="shared" si="8"/>
        <v>-1.6986502609900977E-2</v>
      </c>
      <c r="D152">
        <v>70.199798999999999</v>
      </c>
      <c r="E152" s="3">
        <f t="shared" si="6"/>
        <v>-2.1602888883233473E-2</v>
      </c>
    </row>
    <row r="153" spans="1:5" x14ac:dyDescent="0.35">
      <c r="A153" s="43">
        <v>43948</v>
      </c>
      <c r="B153" s="14">
        <v>11058.570313</v>
      </c>
      <c r="C153" s="3">
        <f t="shared" ref="C153:C168" si="9">B153/B152-1</f>
        <v>3.6912588203485974E-3</v>
      </c>
      <c r="D153">
        <v>67.378044000000003</v>
      </c>
      <c r="E153" s="3">
        <f t="shared" si="6"/>
        <v>-4.0196055262209485E-2</v>
      </c>
    </row>
    <row r="154" spans="1:5" x14ac:dyDescent="0.35">
      <c r="A154" s="43">
        <v>43955</v>
      </c>
      <c r="B154" s="14">
        <v>11354.339844</v>
      </c>
      <c r="C154" s="3">
        <f t="shared" si="9"/>
        <v>2.6745729567980936E-2</v>
      </c>
      <c r="D154">
        <v>68.203925999999996</v>
      </c>
      <c r="E154" s="3">
        <f t="shared" si="6"/>
        <v>1.2257435077812406E-2</v>
      </c>
    </row>
    <row r="155" spans="1:5" x14ac:dyDescent="0.35">
      <c r="A155" s="43">
        <v>43962</v>
      </c>
      <c r="B155" s="14">
        <v>10947.320313</v>
      </c>
      <c r="C155" s="3">
        <f t="shared" si="9"/>
        <v>-3.5847044970657826E-2</v>
      </c>
      <c r="D155">
        <v>67.790976999999998</v>
      </c>
      <c r="E155" s="3">
        <f t="shared" si="6"/>
        <v>-6.0546221342154816E-3</v>
      </c>
    </row>
    <row r="156" spans="1:5" x14ac:dyDescent="0.35">
      <c r="A156" s="43">
        <v>43969</v>
      </c>
      <c r="B156" s="14">
        <v>11331.969727</v>
      </c>
      <c r="C156" s="3">
        <f t="shared" si="9"/>
        <v>3.513639895447529E-2</v>
      </c>
      <c r="D156">
        <v>69.560730000000007</v>
      </c>
      <c r="E156" s="3">
        <f t="shared" si="6"/>
        <v>2.6106025880110906E-2</v>
      </c>
    </row>
    <row r="157" spans="1:5" x14ac:dyDescent="0.35">
      <c r="A157" s="43">
        <v>43976</v>
      </c>
      <c r="B157" s="14">
        <v>11802.950194999999</v>
      </c>
      <c r="C157" s="3">
        <f t="shared" si="9"/>
        <v>4.1562100795047296E-2</v>
      </c>
      <c r="D157">
        <v>71.114174000000006</v>
      </c>
      <c r="E157" s="3">
        <f t="shared" si="6"/>
        <v>2.2332198066351561E-2</v>
      </c>
    </row>
    <row r="158" spans="1:5" x14ac:dyDescent="0.35">
      <c r="A158" s="43">
        <v>43983</v>
      </c>
      <c r="B158" s="14">
        <v>12641.440430000001</v>
      </c>
      <c r="C158" s="3">
        <f t="shared" si="9"/>
        <v>7.1040733134263734E-2</v>
      </c>
      <c r="D158">
        <v>71.182998999999995</v>
      </c>
      <c r="E158" s="3">
        <f t="shared" si="6"/>
        <v>9.6780987711375666E-4</v>
      </c>
    </row>
    <row r="159" spans="1:5" x14ac:dyDescent="0.35">
      <c r="A159" s="43">
        <v>43990</v>
      </c>
      <c r="B159" s="14">
        <v>11867.169921999999</v>
      </c>
      <c r="C159" s="3">
        <f t="shared" si="9"/>
        <v>-6.1248598392517284E-2</v>
      </c>
      <c r="D159">
        <v>71.566436999999993</v>
      </c>
      <c r="E159" s="3">
        <f t="shared" si="6"/>
        <v>5.3866513828673135E-3</v>
      </c>
    </row>
    <row r="160" spans="1:5" x14ac:dyDescent="0.35">
      <c r="A160" s="43">
        <v>43997</v>
      </c>
      <c r="B160" s="14">
        <v>11980.120117</v>
      </c>
      <c r="C160" s="3">
        <f t="shared" si="9"/>
        <v>9.5178712146530842E-3</v>
      </c>
      <c r="D160">
        <v>72.126853999999994</v>
      </c>
      <c r="E160" s="3">
        <f t="shared" si="6"/>
        <v>7.8307237790808948E-3</v>
      </c>
    </row>
    <row r="161" spans="1:5" x14ac:dyDescent="0.35">
      <c r="A161" s="43">
        <v>44004</v>
      </c>
      <c r="B161" s="14">
        <v>11604.429688</v>
      </c>
      <c r="C161" s="3">
        <f t="shared" si="9"/>
        <v>-3.1359487662138585E-2</v>
      </c>
      <c r="D161">
        <v>70.317779999999999</v>
      </c>
      <c r="E161" s="3">
        <f t="shared" si="6"/>
        <v>-2.5081837064458656E-2</v>
      </c>
    </row>
    <row r="162" spans="1:5" x14ac:dyDescent="0.35">
      <c r="A162" s="43">
        <v>44011</v>
      </c>
      <c r="B162" s="14">
        <v>11991.519531</v>
      </c>
      <c r="C162" s="3">
        <f t="shared" si="9"/>
        <v>3.3357075996615748E-2</v>
      </c>
      <c r="D162">
        <v>72.048195000000007</v>
      </c>
      <c r="E162" s="3">
        <f t="shared" si="6"/>
        <v>2.460849873246862E-2</v>
      </c>
    </row>
    <row r="163" spans="1:5" x14ac:dyDescent="0.35">
      <c r="A163" s="43">
        <v>44018</v>
      </c>
      <c r="B163" s="14">
        <v>12075.580078000001</v>
      </c>
      <c r="C163" s="3">
        <f t="shared" si="9"/>
        <v>7.0099995903514234E-3</v>
      </c>
      <c r="D163">
        <v>72.441483000000005</v>
      </c>
      <c r="E163" s="3">
        <f t="shared" si="6"/>
        <v>5.4586794297899477E-3</v>
      </c>
    </row>
    <row r="164" spans="1:5" x14ac:dyDescent="0.35">
      <c r="A164" s="43">
        <v>44025</v>
      </c>
      <c r="B164" s="14">
        <v>12402.740234000001</v>
      </c>
      <c r="C164" s="3">
        <f t="shared" si="9"/>
        <v>2.7092707256029858E-2</v>
      </c>
      <c r="D164">
        <v>73.935920999999993</v>
      </c>
      <c r="E164" s="3">
        <f t="shared" si="6"/>
        <v>2.0629588712312685E-2</v>
      </c>
    </row>
    <row r="165" spans="1:5" x14ac:dyDescent="0.35">
      <c r="A165" s="43">
        <v>44032</v>
      </c>
      <c r="B165" s="14">
        <v>12461.780273</v>
      </c>
      <c r="C165" s="3">
        <f t="shared" si="9"/>
        <v>4.7602415180922897E-3</v>
      </c>
      <c r="D165">
        <v>73.502044999999995</v>
      </c>
      <c r="E165" s="3">
        <f t="shared" si="6"/>
        <v>-5.8682707151236357E-3</v>
      </c>
    </row>
    <row r="166" spans="1:5" x14ac:dyDescent="0.35">
      <c r="A166" s="43">
        <v>44039</v>
      </c>
      <c r="B166" s="14">
        <v>12465.049805000001</v>
      </c>
      <c r="C166" s="3">
        <f t="shared" si="9"/>
        <v>2.6236476076246795E-4</v>
      </c>
      <c r="D166">
        <v>76.350341999999998</v>
      </c>
      <c r="E166" s="3">
        <f t="shared" si="6"/>
        <v>3.8751261954684368E-2</v>
      </c>
    </row>
    <row r="167" spans="1:5" x14ac:dyDescent="0.35">
      <c r="A167" s="43">
        <v>44046</v>
      </c>
      <c r="B167" s="14">
        <v>12765.839844</v>
      </c>
      <c r="C167" s="3">
        <f t="shared" si="9"/>
        <v>2.4130672857748614E-2</v>
      </c>
      <c r="D167">
        <v>75.400917000000007</v>
      </c>
      <c r="E167" s="3">
        <f t="shared" si="6"/>
        <v>-1.243511129262509E-2</v>
      </c>
    </row>
    <row r="168" spans="1:5" x14ac:dyDescent="0.35">
      <c r="A168" s="43">
        <v>44053</v>
      </c>
      <c r="B168" s="14">
        <v>12902.5</v>
      </c>
      <c r="C168" s="3">
        <f t="shared" si="9"/>
        <v>1.0705144171476499E-2</v>
      </c>
      <c r="D168">
        <v>76.202003000000005</v>
      </c>
      <c r="E168" s="3">
        <f t="shared" si="6"/>
        <v>1.0624353547318277E-2</v>
      </c>
    </row>
    <row r="169" spans="1:5" x14ac:dyDescent="0.35">
      <c r="A169" s="43">
        <v>44060</v>
      </c>
      <c r="B169" s="14">
        <v>12809.070313</v>
      </c>
      <c r="C169" s="3">
        <f t="shared" ref="C169:C184" si="10">B169/B168-1</f>
        <v>-7.2412080604533635E-3</v>
      </c>
      <c r="D169">
        <v>77.823952000000006</v>
      </c>
      <c r="E169" s="3">
        <f t="shared" ref="E169:E195" si="11">D169/D168-1</f>
        <v>2.1284860451765253E-2</v>
      </c>
    </row>
    <row r="170" spans="1:5" x14ac:dyDescent="0.35">
      <c r="A170" s="43">
        <v>44067</v>
      </c>
      <c r="B170" s="14">
        <v>13170.959961</v>
      </c>
      <c r="C170" s="3">
        <f t="shared" si="10"/>
        <v>2.8252608437375537E-2</v>
      </c>
      <c r="D170">
        <v>78.496475000000004</v>
      </c>
      <c r="E170" s="3">
        <f t="shared" si="11"/>
        <v>8.6415940429238614E-3</v>
      </c>
    </row>
    <row r="171" spans="1:5" x14ac:dyDescent="0.35">
      <c r="A171" s="43">
        <v>44074</v>
      </c>
      <c r="B171" s="14">
        <v>12966.139648</v>
      </c>
      <c r="C171" s="3">
        <f t="shared" si="10"/>
        <v>-1.5550902410035872E-2</v>
      </c>
      <c r="D171">
        <v>76.360236999999998</v>
      </c>
      <c r="E171" s="3">
        <f t="shared" si="11"/>
        <v>-2.7214444979854258E-2</v>
      </c>
    </row>
    <row r="172" spans="1:5" x14ac:dyDescent="0.35">
      <c r="A172" s="43">
        <v>44081</v>
      </c>
      <c r="B172" s="14">
        <v>12773.040039</v>
      </c>
      <c r="C172" s="3">
        <f t="shared" si="10"/>
        <v>-1.489260599084985E-2</v>
      </c>
      <c r="D172">
        <v>75.905304000000001</v>
      </c>
      <c r="E172" s="3">
        <f t="shared" si="11"/>
        <v>-5.9577211631755E-3</v>
      </c>
    </row>
    <row r="173" spans="1:5" x14ac:dyDescent="0.35">
      <c r="A173" s="43">
        <v>44088</v>
      </c>
      <c r="B173" s="14">
        <v>12833.570313</v>
      </c>
      <c r="C173" s="3">
        <f t="shared" si="10"/>
        <v>4.7389089688267827E-3</v>
      </c>
      <c r="D173">
        <v>74.995429999999999</v>
      </c>
      <c r="E173" s="3">
        <f t="shared" si="11"/>
        <v>-1.1986962070529406E-2</v>
      </c>
    </row>
    <row r="174" spans="1:5" x14ac:dyDescent="0.35">
      <c r="A174" s="43">
        <v>44095</v>
      </c>
      <c r="B174" s="14">
        <v>12485.379883</v>
      </c>
      <c r="C174" s="3">
        <f t="shared" si="10"/>
        <v>-2.7131220814467727E-2</v>
      </c>
      <c r="D174">
        <v>75.114104999999995</v>
      </c>
      <c r="E174" s="3">
        <f t="shared" si="11"/>
        <v>1.5824297560531608E-3</v>
      </c>
    </row>
    <row r="175" spans="1:5" x14ac:dyDescent="0.35">
      <c r="A175" s="43">
        <v>44102</v>
      </c>
      <c r="B175" s="14">
        <v>12749.790039</v>
      </c>
      <c r="C175" s="3">
        <f t="shared" si="10"/>
        <v>2.117758197810371E-2</v>
      </c>
      <c r="D175">
        <v>76.548148999999995</v>
      </c>
      <c r="E175" s="3">
        <f t="shared" si="11"/>
        <v>1.9091540796498885E-2</v>
      </c>
    </row>
    <row r="176" spans="1:5" x14ac:dyDescent="0.35">
      <c r="A176" s="43">
        <v>44109</v>
      </c>
      <c r="B176" s="14">
        <v>13252.620117</v>
      </c>
      <c r="C176" s="3">
        <f t="shared" si="10"/>
        <v>3.9438302627879063E-2</v>
      </c>
      <c r="D176">
        <v>78.892066999999997</v>
      </c>
      <c r="E176" s="3">
        <f t="shared" si="11"/>
        <v>3.0620178679957366E-2</v>
      </c>
    </row>
    <row r="177" spans="1:5" x14ac:dyDescent="0.35">
      <c r="A177" s="43">
        <v>44116</v>
      </c>
      <c r="B177" s="14">
        <v>13169.320313</v>
      </c>
      <c r="C177" s="3">
        <f t="shared" si="10"/>
        <v>-6.285534729328468E-3</v>
      </c>
      <c r="D177">
        <v>79.426117000000005</v>
      </c>
      <c r="E177" s="3">
        <f t="shared" si="11"/>
        <v>6.7693751768478361E-3</v>
      </c>
    </row>
    <row r="178" spans="1:5" x14ac:dyDescent="0.35">
      <c r="A178" s="43">
        <v>44123</v>
      </c>
      <c r="B178" s="14">
        <v>13199.860352</v>
      </c>
      <c r="C178" s="3">
        <f t="shared" si="10"/>
        <v>2.3190292493571185E-3</v>
      </c>
      <c r="D178">
        <v>78.466789000000006</v>
      </c>
      <c r="E178" s="3">
        <f t="shared" si="11"/>
        <v>-1.2078243734362615E-2</v>
      </c>
    </row>
    <row r="179" spans="1:5" x14ac:dyDescent="0.35">
      <c r="A179" s="43">
        <v>44130</v>
      </c>
      <c r="B179" s="14">
        <v>12429.330078000001</v>
      </c>
      <c r="C179" s="3">
        <f t="shared" si="10"/>
        <v>-5.8374123168905334E-2</v>
      </c>
      <c r="D179">
        <v>78.452163999999996</v>
      </c>
      <c r="E179" s="3">
        <f t="shared" si="11"/>
        <v>-1.8638458622299847E-4</v>
      </c>
    </row>
    <row r="180" spans="1:5" x14ac:dyDescent="0.35">
      <c r="A180" s="43">
        <v>44137</v>
      </c>
      <c r="B180" s="14">
        <v>13218.669921999999</v>
      </c>
      <c r="C180" s="3">
        <f t="shared" si="10"/>
        <v>6.3506225922596915E-2</v>
      </c>
      <c r="D180">
        <v>82.569182999999995</v>
      </c>
      <c r="E180" s="3">
        <f t="shared" si="11"/>
        <v>5.2478080783087133E-2</v>
      </c>
    </row>
    <row r="181" spans="1:5" x14ac:dyDescent="0.35">
      <c r="A181" s="43">
        <v>44144</v>
      </c>
      <c r="B181" s="14">
        <v>13761.320313</v>
      </c>
      <c r="C181" s="3">
        <f t="shared" si="10"/>
        <v>4.1051814910429085E-2</v>
      </c>
      <c r="D181">
        <v>84.886252999999996</v>
      </c>
      <c r="E181" s="3">
        <f t="shared" si="11"/>
        <v>2.8062164548727564E-2</v>
      </c>
    </row>
    <row r="182" spans="1:5" x14ac:dyDescent="0.35">
      <c r="A182" s="43">
        <v>44151</v>
      </c>
      <c r="B182" s="14">
        <v>13827</v>
      </c>
      <c r="C182" s="3">
        <f t="shared" si="10"/>
        <v>4.7727751048678435E-3</v>
      </c>
      <c r="D182">
        <v>84.687370000000001</v>
      </c>
      <c r="E182" s="3">
        <f t="shared" si="11"/>
        <v>-2.3429353160399069E-3</v>
      </c>
    </row>
    <row r="183" spans="1:5" x14ac:dyDescent="0.35">
      <c r="A183" s="43">
        <v>44158</v>
      </c>
      <c r="B183" s="14">
        <v>14198.5</v>
      </c>
      <c r="C183" s="3">
        <f t="shared" si="10"/>
        <v>2.6867722571779939E-2</v>
      </c>
      <c r="D183">
        <v>84.428809999999999</v>
      </c>
      <c r="E183" s="3">
        <f t="shared" si="11"/>
        <v>-3.0531116977655648E-3</v>
      </c>
    </row>
    <row r="184" spans="1:5" x14ac:dyDescent="0.35">
      <c r="A184" s="43">
        <v>44165</v>
      </c>
      <c r="B184" s="14">
        <v>14417.330078000001</v>
      </c>
      <c r="C184" s="3">
        <f t="shared" si="10"/>
        <v>1.5412196922210075E-2</v>
      </c>
      <c r="D184">
        <v>84.558082999999996</v>
      </c>
      <c r="E184" s="3">
        <f t="shared" si="11"/>
        <v>1.5311479576698428E-3</v>
      </c>
    </row>
    <row r="185" spans="1:5" x14ac:dyDescent="0.35">
      <c r="A185" s="43">
        <v>44172</v>
      </c>
      <c r="B185" s="14">
        <v>14355.290039</v>
      </c>
      <c r="C185" s="3">
        <f t="shared" ref="C185:C195" si="12">B185/B184-1</f>
        <v>-4.3031572880939395E-3</v>
      </c>
      <c r="D185">
        <v>84.210030000000003</v>
      </c>
      <c r="E185" s="3">
        <f t="shared" si="11"/>
        <v>-4.1161410908522322E-3</v>
      </c>
    </row>
    <row r="186" spans="1:5" x14ac:dyDescent="0.35">
      <c r="A186" s="43">
        <v>44179</v>
      </c>
      <c r="B186" s="14">
        <v>14467.820313</v>
      </c>
      <c r="C186" s="3">
        <f t="shared" si="12"/>
        <v>7.8389411634514072E-3</v>
      </c>
      <c r="D186">
        <v>85.453093999999993</v>
      </c>
      <c r="E186" s="3">
        <f t="shared" si="11"/>
        <v>1.4761472000425435E-2</v>
      </c>
    </row>
    <row r="187" spans="1:5" x14ac:dyDescent="0.35">
      <c r="A187" s="43">
        <v>44186</v>
      </c>
      <c r="B187" s="14">
        <v>14382.5</v>
      </c>
      <c r="C187" s="3">
        <f t="shared" si="12"/>
        <v>-5.8972472116850527E-3</v>
      </c>
      <c r="D187">
        <v>84.568031000000005</v>
      </c>
      <c r="E187" s="3">
        <f t="shared" si="11"/>
        <v>-1.0357296132542437E-2</v>
      </c>
    </row>
    <row r="188" spans="1:5" x14ac:dyDescent="0.35">
      <c r="A188" s="43">
        <v>44193</v>
      </c>
      <c r="B188" s="14">
        <v>14524.799805000001</v>
      </c>
      <c r="C188" s="3">
        <f t="shared" si="12"/>
        <v>9.8939548061880433E-3</v>
      </c>
      <c r="D188">
        <v>85.035422999999994</v>
      </c>
      <c r="E188" s="3">
        <f t="shared" si="11"/>
        <v>5.5268166288511278E-3</v>
      </c>
    </row>
    <row r="189" spans="1:5" x14ac:dyDescent="0.35">
      <c r="A189" s="43">
        <v>44200</v>
      </c>
      <c r="B189" s="14">
        <v>14966.830078000001</v>
      </c>
      <c r="C189" s="3">
        <f t="shared" si="12"/>
        <v>3.0432796247410909E-2</v>
      </c>
      <c r="D189">
        <v>81.892960000000002</v>
      </c>
      <c r="E189" s="3">
        <f t="shared" si="11"/>
        <v>-3.6954752374195765E-2</v>
      </c>
    </row>
    <row r="190" spans="1:5" x14ac:dyDescent="0.35">
      <c r="A190" s="43">
        <v>44207</v>
      </c>
      <c r="B190" s="14">
        <v>14894.169921999999</v>
      </c>
      <c r="C190" s="3">
        <f t="shared" si="12"/>
        <v>-4.8547458360475026E-3</v>
      </c>
      <c r="D190">
        <v>81.425567999999998</v>
      </c>
      <c r="E190" s="3">
        <f t="shared" si="11"/>
        <v>-5.7073526222523041E-3</v>
      </c>
    </row>
    <row r="191" spans="1:5" x14ac:dyDescent="0.35">
      <c r="A191" s="43">
        <v>44214</v>
      </c>
      <c r="B191" s="14">
        <v>14951.839844</v>
      </c>
      <c r="C191" s="3">
        <f t="shared" si="12"/>
        <v>3.8719795934929468E-3</v>
      </c>
      <c r="D191">
        <v>77.756050000000002</v>
      </c>
      <c r="E191" s="3">
        <f t="shared" si="11"/>
        <v>-4.5065918361171242E-2</v>
      </c>
    </row>
    <row r="192" spans="1:5" x14ac:dyDescent="0.35">
      <c r="A192" s="43">
        <v>44221</v>
      </c>
      <c r="B192" s="14">
        <v>14397.200194999999</v>
      </c>
      <c r="C192" s="3">
        <f t="shared" si="12"/>
        <v>-3.7095076912729952E-2</v>
      </c>
      <c r="D192">
        <v>78</v>
      </c>
      <c r="E192" s="3">
        <f t="shared" si="11"/>
        <v>3.1373764485207456E-3</v>
      </c>
    </row>
    <row r="193" spans="1:5" x14ac:dyDescent="0.35">
      <c r="A193" s="43">
        <v>44228</v>
      </c>
      <c r="B193" s="14">
        <v>15069.599609000001</v>
      </c>
      <c r="C193" s="3">
        <f t="shared" si="12"/>
        <v>4.6703484350625324E-2</v>
      </c>
      <c r="D193">
        <v>79.870002999999997</v>
      </c>
      <c r="E193" s="3">
        <f t="shared" si="11"/>
        <v>2.3974397435897465E-2</v>
      </c>
    </row>
    <row r="194" spans="1:5" x14ac:dyDescent="0.35">
      <c r="A194" s="43">
        <v>44235</v>
      </c>
      <c r="B194" s="14">
        <v>15369.599609000001</v>
      </c>
      <c r="C194" s="3">
        <f t="shared" si="12"/>
        <v>1.99076291198097E-2</v>
      </c>
      <c r="D194">
        <v>78.430000000000007</v>
      </c>
      <c r="E194" s="3">
        <f t="shared" si="11"/>
        <v>-1.8029334492450033E-2</v>
      </c>
    </row>
    <row r="195" spans="1:5" x14ac:dyDescent="0.35">
      <c r="A195" s="43">
        <v>44242</v>
      </c>
      <c r="B195" s="14">
        <v>15362.690430000001</v>
      </c>
      <c r="C195" s="3">
        <f t="shared" si="12"/>
        <v>-4.495353929685475E-4</v>
      </c>
      <c r="D195">
        <v>77.199996999999996</v>
      </c>
      <c r="E195" s="3">
        <f t="shared" si="11"/>
        <v>-1.5682812699222337E-2</v>
      </c>
    </row>
    <row r="196" spans="1:5" x14ac:dyDescent="0.35">
      <c r="A196" s="43"/>
      <c r="B196" s="14"/>
      <c r="C196" s="3"/>
      <c r="D196" s="14"/>
      <c r="E196" s="3"/>
    </row>
  </sheetData>
  <mergeCells count="3">
    <mergeCell ref="A3:G3"/>
    <mergeCell ref="A11:G11"/>
    <mergeCell ref="I3:M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C749-35A3-4E1A-A1FE-1D35D11750CE}">
  <dimension ref="A1:M27"/>
  <sheetViews>
    <sheetView showGridLines="0" tabSelected="1" topLeftCell="A6" workbookViewId="0">
      <selection activeCell="L17" sqref="L17"/>
    </sheetView>
  </sheetViews>
  <sheetFormatPr defaultRowHeight="14.5" x14ac:dyDescent="0.35"/>
  <cols>
    <col min="7" max="7" width="11.54296875" bestFit="1" customWidth="1"/>
    <col min="8" max="12" width="10.453125" customWidth="1"/>
  </cols>
  <sheetData>
    <row r="1" spans="1:12" x14ac:dyDescent="0.35">
      <c r="G1">
        <v>0</v>
      </c>
      <c r="H1">
        <v>1</v>
      </c>
      <c r="I1">
        <f>H1+1</f>
        <v>2</v>
      </c>
      <c r="J1">
        <f t="shared" ref="J1:L1" si="0">I1+1</f>
        <v>3</v>
      </c>
      <c r="K1">
        <f t="shared" si="0"/>
        <v>4</v>
      </c>
      <c r="L1">
        <f t="shared" si="0"/>
        <v>5</v>
      </c>
    </row>
    <row r="2" spans="1:12" x14ac:dyDescent="0.35">
      <c r="H2" s="1">
        <v>2021</v>
      </c>
      <c r="I2" s="1">
        <v>2022</v>
      </c>
      <c r="J2" s="1">
        <v>2023</v>
      </c>
      <c r="K2" s="1">
        <v>2024</v>
      </c>
      <c r="L2" s="1">
        <v>2025</v>
      </c>
    </row>
    <row r="3" spans="1:12" x14ac:dyDescent="0.35">
      <c r="A3" t="s">
        <v>76</v>
      </c>
      <c r="H3" s="15">
        <f>'Income Statement'!H16</f>
        <v>4039.0840688028725</v>
      </c>
      <c r="I3" s="15">
        <f>'Income Statement'!I16</f>
        <v>4191.5423122012653</v>
      </c>
      <c r="J3" s="15">
        <f>'Income Statement'!J16</f>
        <v>4324.9611900207719</v>
      </c>
      <c r="K3" s="15">
        <f>'Income Statement'!K16</f>
        <v>4437.0436354707917</v>
      </c>
      <c r="L3" s="15">
        <f>'Income Statement'!L16</f>
        <v>4525.7845081802079</v>
      </c>
    </row>
    <row r="4" spans="1:12" x14ac:dyDescent="0.35">
      <c r="A4" t="s">
        <v>77</v>
      </c>
      <c r="H4" s="15">
        <f>-'Income Statement'!H21*'DCF value'!H3</f>
        <v>-915.39798959698078</v>
      </c>
      <c r="I4" s="15">
        <f>-'Income Statement'!I21*'DCF value'!I3</f>
        <v>-995.39188362545201</v>
      </c>
      <c r="J4" s="15">
        <f>-'Income Statement'!J21*'DCF value'!J3</f>
        <v>-1073.9636422098908</v>
      </c>
      <c r="K4" s="15">
        <f>-'Income Statement'!K21*'DCF value'!K3</f>
        <v>-1149.8987294084152</v>
      </c>
      <c r="L4" s="15">
        <f>-'Income Statement'!L21*'DCF value'!L3</f>
        <v>-1221.9618172086562</v>
      </c>
    </row>
    <row r="5" spans="1:12" s="1" customFormat="1" x14ac:dyDescent="0.35">
      <c r="A5" s="31" t="s">
        <v>78</v>
      </c>
      <c r="B5" s="31"/>
      <c r="C5" s="31"/>
      <c r="D5" s="31"/>
      <c r="E5" s="31"/>
      <c r="F5" s="31"/>
      <c r="G5" s="31"/>
      <c r="H5" s="37">
        <f>SUM(H3:H4)</f>
        <v>3123.6860792058915</v>
      </c>
      <c r="I5" s="37">
        <f t="shared" ref="I5:L5" si="1">SUM(I3:I4)</f>
        <v>3196.1504285758133</v>
      </c>
      <c r="J5" s="37">
        <f t="shared" si="1"/>
        <v>3250.9975478108809</v>
      </c>
      <c r="K5" s="37">
        <f t="shared" si="1"/>
        <v>3287.1449060623763</v>
      </c>
      <c r="L5" s="37">
        <f t="shared" si="1"/>
        <v>3303.8226909715518</v>
      </c>
    </row>
    <row r="6" spans="1:12" x14ac:dyDescent="0.35">
      <c r="A6" t="s">
        <v>79</v>
      </c>
      <c r="H6" s="15">
        <f>'Income Statement'!H12</f>
        <v>553.26776024590038</v>
      </c>
      <c r="I6" s="15">
        <f>'Income Statement'!I12</f>
        <v>568.95853186427507</v>
      </c>
      <c r="J6" s="15">
        <f>'Income Statement'!J12</f>
        <v>582.47666323828344</v>
      </c>
      <c r="K6" s="15">
        <f>'Income Statement'!K12</f>
        <v>593.55111199602072</v>
      </c>
      <c r="L6" s="15">
        <f>'Income Statement'!L12</f>
        <v>601.94511678018353</v>
      </c>
    </row>
    <row r="7" spans="1:12" x14ac:dyDescent="0.35">
      <c r="A7" t="s">
        <v>80</v>
      </c>
      <c r="H7" s="15">
        <f>'Working Capital Schedule'!H16</f>
        <v>-438.04733515862381</v>
      </c>
      <c r="I7" s="15">
        <f>'Working Capital Schedule'!I16</f>
        <v>-5.7569775188953827</v>
      </c>
      <c r="J7" s="15">
        <f>'Working Capital Schedule'!J16</f>
        <v>-8.7145424104187441</v>
      </c>
      <c r="K7" s="15">
        <f>'Working Capital Schedule'!K16</f>
        <v>31.593487264219675</v>
      </c>
      <c r="L7" s="15">
        <f>'Working Capital Schedule'!L16</f>
        <v>30.11837076312122</v>
      </c>
    </row>
    <row r="8" spans="1:12" x14ac:dyDescent="0.35">
      <c r="A8" t="s">
        <v>81</v>
      </c>
      <c r="H8" s="15">
        <f>-'Fixed asset Schedule'!H6</f>
        <v>-689.2930613649396</v>
      </c>
      <c r="I8" s="15">
        <f>-'Fixed asset Schedule'!I6</f>
        <v>-639.96221515041088</v>
      </c>
      <c r="J8" s="15">
        <f>-'Fixed asset Schedule'!J6</f>
        <v>-637.07606810534753</v>
      </c>
      <c r="K8" s="15">
        <f>-'Fixed asset Schedule'!K6</f>
        <v>-629.4517575411719</v>
      </c>
      <c r="L8" s="15">
        <f>-'Fixed asset Schedule'!L6</f>
        <v>-617.13829066122344</v>
      </c>
    </row>
    <row r="9" spans="1:12" s="1" customFormat="1" x14ac:dyDescent="0.35">
      <c r="A9" s="31" t="s">
        <v>82</v>
      </c>
      <c r="B9" s="31"/>
      <c r="C9" s="31"/>
      <c r="D9" s="31"/>
      <c r="E9" s="31"/>
      <c r="F9" s="31"/>
      <c r="G9" s="31"/>
      <c r="H9" s="37">
        <f>H5+H6+H7+H8</f>
        <v>2549.6134429282283</v>
      </c>
      <c r="I9" s="37">
        <f t="shared" ref="I9:L9" si="2">I5+I6+I7+I8</f>
        <v>3119.3897677707823</v>
      </c>
      <c r="J9" s="37">
        <f t="shared" si="2"/>
        <v>3187.683600533398</v>
      </c>
      <c r="K9" s="37">
        <f t="shared" si="2"/>
        <v>3282.8377477814447</v>
      </c>
      <c r="L9" s="37">
        <f t="shared" si="2"/>
        <v>3318.7478878536331</v>
      </c>
    </row>
    <row r="10" spans="1:12" x14ac:dyDescent="0.35">
      <c r="A10" t="s">
        <v>83</v>
      </c>
      <c r="G10" s="14"/>
      <c r="H10" s="14">
        <f ca="1">1/(1+'Discount rates'!$M$9)^('DCF value'!H1-0.5)</f>
        <v>0.97856097570258316</v>
      </c>
      <c r="I10" s="14">
        <f ca="1">1/(1+'Discount rates'!$M$9)^('DCF value'!I1-0.5)</f>
        <v>0.93705196833969417</v>
      </c>
      <c r="J10" s="14">
        <f ca="1">1/(1+'Discount rates'!$M$9)^('DCF value'!J1-0.5)</f>
        <v>0.89730370735340703</v>
      </c>
      <c r="K10" s="14">
        <f ca="1">1/(1+'Discount rates'!$M$9)^('DCF value'!K1-0.5)</f>
        <v>0.85924150466998361</v>
      </c>
      <c r="L10" s="14">
        <f ca="1">1/(1+'Discount rates'!$M$9)^('DCF value'!L1-0.5)</f>
        <v>0.82279384036553016</v>
      </c>
    </row>
    <row r="11" spans="1:12" x14ac:dyDescent="0.35">
      <c r="H11" s="15"/>
      <c r="I11" s="15"/>
      <c r="J11" s="15"/>
      <c r="K11" s="15"/>
      <c r="L11" s="15"/>
    </row>
    <row r="12" spans="1:12" x14ac:dyDescent="0.35">
      <c r="A12" t="s">
        <v>84</v>
      </c>
      <c r="G12" s="14"/>
      <c r="H12" s="15"/>
      <c r="I12" s="15"/>
      <c r="J12" s="15"/>
      <c r="K12" s="15"/>
      <c r="L12" s="15"/>
    </row>
    <row r="13" spans="1:12" x14ac:dyDescent="0.35">
      <c r="G13" s="14">
        <f ca="1">SUMPRODUCT(H9:L9,H10:L10)</f>
        <v>13829.698618756089</v>
      </c>
      <c r="H13" s="15"/>
      <c r="I13" s="15"/>
      <c r="J13" s="15"/>
      <c r="K13" s="15"/>
      <c r="L13" s="15"/>
    </row>
    <row r="14" spans="1:12" x14ac:dyDescent="0.35">
      <c r="A14" t="s">
        <v>87</v>
      </c>
      <c r="H14" s="15"/>
      <c r="I14" s="15"/>
      <c r="J14" s="15"/>
      <c r="K14" s="15"/>
      <c r="L14" s="15"/>
    </row>
    <row r="15" spans="1:12" s="1" customFormat="1" x14ac:dyDescent="0.35">
      <c r="A15" s="1" t="s">
        <v>88</v>
      </c>
      <c r="G15" s="21">
        <v>17</v>
      </c>
      <c r="H15" s="22"/>
      <c r="I15" s="22"/>
      <c r="J15" s="22"/>
      <c r="K15" s="22"/>
      <c r="L15" s="22"/>
    </row>
    <row r="16" spans="1:12" x14ac:dyDescent="0.35">
      <c r="A16" t="s">
        <v>89</v>
      </c>
      <c r="D16" s="18"/>
      <c r="H16" s="14"/>
      <c r="I16" s="14"/>
      <c r="J16" s="14"/>
      <c r="K16" s="14"/>
      <c r="L16" s="17">
        <f>L3+L6</f>
        <v>5127.7296249603914</v>
      </c>
    </row>
    <row r="17" spans="1:13" s="1" customFormat="1" x14ac:dyDescent="0.35">
      <c r="A17" s="1" t="s">
        <v>92</v>
      </c>
      <c r="G17" s="21">
        <f ca="1">L17/(1+'Discount rates'!M9)^'DCF value'!L1</f>
        <v>70186.39936503522</v>
      </c>
      <c r="H17" s="22"/>
      <c r="I17" s="22"/>
      <c r="J17" s="22"/>
      <c r="K17" s="22"/>
      <c r="L17" s="64">
        <f>G15*L16</f>
        <v>87171.40362432666</v>
      </c>
    </row>
    <row r="18" spans="1:13" x14ac:dyDescent="0.35">
      <c r="A18" t="s">
        <v>90</v>
      </c>
      <c r="G18" s="14"/>
      <c r="H18" s="14"/>
      <c r="I18" s="14"/>
      <c r="J18" s="14"/>
      <c r="K18" s="14"/>
    </row>
    <row r="20" spans="1:13" s="1" customFormat="1" x14ac:dyDescent="0.35">
      <c r="A20" s="1" t="s">
        <v>91</v>
      </c>
      <c r="G20" s="21">
        <f ca="1">G17+G13</f>
        <v>84016.097983791304</v>
      </c>
      <c r="M20"/>
    </row>
    <row r="21" spans="1:13" x14ac:dyDescent="0.35">
      <c r="A21" t="s">
        <v>93</v>
      </c>
      <c r="G21">
        <f>888+37+56</f>
        <v>981</v>
      </c>
    </row>
    <row r="22" spans="1:13" x14ac:dyDescent="0.35">
      <c r="A22" s="31" t="s">
        <v>85</v>
      </c>
      <c r="B22" s="31"/>
      <c r="C22" s="31"/>
      <c r="D22" s="31"/>
      <c r="E22" s="31"/>
      <c r="F22" s="31"/>
      <c r="G22" s="49">
        <f ca="1">G20+G21</f>
        <v>84997.097983791304</v>
      </c>
    </row>
    <row r="23" spans="1:13" x14ac:dyDescent="0.35">
      <c r="A23" t="s">
        <v>86</v>
      </c>
      <c r="G23">
        <f>-'Discount rates'!G32</f>
        <v>-7601</v>
      </c>
    </row>
    <row r="24" spans="1:13" x14ac:dyDescent="0.35">
      <c r="A24" t="s">
        <v>94</v>
      </c>
      <c r="G24">
        <v>-358</v>
      </c>
    </row>
    <row r="25" spans="1:13" x14ac:dyDescent="0.35">
      <c r="A25" s="31" t="s">
        <v>95</v>
      </c>
      <c r="B25" s="32"/>
      <c r="C25" s="32"/>
      <c r="D25" s="32"/>
      <c r="E25" s="32"/>
      <c r="F25" s="32"/>
      <c r="G25" s="49">
        <f ca="1">G22+G23+G24</f>
        <v>77038.097983791304</v>
      </c>
    </row>
    <row r="26" spans="1:13" x14ac:dyDescent="0.35">
      <c r="A26" t="s">
        <v>71</v>
      </c>
      <c r="G26" s="18">
        <f>'Discount rates'!G27</f>
        <v>848.56267800000001</v>
      </c>
    </row>
    <row r="27" spans="1:13" x14ac:dyDescent="0.35">
      <c r="A27" s="50" t="s">
        <v>96</v>
      </c>
      <c r="B27" s="51"/>
      <c r="C27" s="51"/>
      <c r="D27" s="51"/>
      <c r="E27" s="51"/>
      <c r="F27" s="51"/>
      <c r="G27" s="52">
        <f ca="1">G25/G26</f>
        <v>90.786573556787161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Working Capital Schedule</vt:lpstr>
      <vt:lpstr>Debt Schedule</vt:lpstr>
      <vt:lpstr>Fixed asset Schedule</vt:lpstr>
      <vt:lpstr>Discount rates</vt:lpstr>
      <vt:lpstr>DCF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cp:lastPrinted>2022-12-05T14:53:29Z</cp:lastPrinted>
  <dcterms:created xsi:type="dcterms:W3CDTF">2021-02-22T06:54:57Z</dcterms:created>
  <dcterms:modified xsi:type="dcterms:W3CDTF">2022-12-05T15:32:26Z</dcterms:modified>
</cp:coreProperties>
</file>