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5b4ad1d8326097f/Desktop/5400 Computing/"/>
    </mc:Choice>
  </mc:AlternateContent>
  <xr:revisionPtr revIDLastSave="0" documentId="8_{70C8E12C-80D1-48C3-8AB8-6B6AEEF3A0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mens Data" sheetId="1" r:id="rId1"/>
    <sheet name="Mens Data" sheetId="2" r:id="rId2"/>
    <sheet name="Qualifying Standard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/zS2+Z0lPBe5r8A1d/SlQibVozWhxgOc+isKyKfJCw="/>
    </ext>
  </extLst>
</workbook>
</file>

<file path=xl/calcChain.xml><?xml version="1.0" encoding="utf-8"?>
<calcChain xmlns="http://schemas.openxmlformats.org/spreadsheetml/2006/main">
  <c r="T56" i="2" l="1"/>
  <c r="S58" i="2" s="1"/>
  <c r="T55" i="2"/>
  <c r="T54" i="2"/>
  <c r="O58" i="2" s="1"/>
  <c r="T53" i="2"/>
  <c r="M58" i="2" s="1"/>
  <c r="T49" i="2"/>
  <c r="T47" i="2"/>
  <c r="T46" i="2"/>
  <c r="T42" i="2"/>
  <c r="T41" i="2"/>
  <c r="T40" i="2"/>
  <c r="T39" i="2"/>
  <c r="T35" i="2"/>
  <c r="T34" i="2"/>
  <c r="T33" i="2"/>
  <c r="T32" i="2"/>
  <c r="T28" i="2"/>
  <c r="T27" i="2"/>
  <c r="T26" i="2"/>
  <c r="T25" i="2"/>
  <c r="T21" i="2"/>
  <c r="T20" i="2"/>
  <c r="T19" i="2"/>
  <c r="T18" i="2"/>
  <c r="T14" i="2"/>
  <c r="T13" i="2"/>
  <c r="T12" i="2"/>
  <c r="T11" i="2"/>
  <c r="T7" i="2"/>
  <c r="T6" i="2"/>
  <c r="T5" i="2"/>
  <c r="T4" i="2"/>
  <c r="D138" i="1"/>
  <c r="C138" i="1"/>
  <c r="B138" i="1"/>
  <c r="D137" i="1"/>
  <c r="C137" i="1"/>
  <c r="B137" i="1"/>
  <c r="D136" i="1"/>
  <c r="C136" i="1"/>
  <c r="O42" i="1" s="1"/>
  <c r="R42" i="1" s="1"/>
  <c r="B136" i="1"/>
  <c r="N42" i="1" s="1"/>
  <c r="D135" i="1"/>
  <c r="C135" i="1"/>
  <c r="O41" i="1" s="1"/>
  <c r="R41" i="1" s="1"/>
  <c r="B135" i="1"/>
  <c r="D134" i="1"/>
  <c r="C134" i="1"/>
  <c r="B134" i="1"/>
  <c r="D133" i="1"/>
  <c r="C133" i="1"/>
  <c r="B133" i="1"/>
  <c r="D132" i="1"/>
  <c r="C132" i="1"/>
  <c r="B132" i="1"/>
  <c r="N41" i="1" s="1"/>
  <c r="Q41" i="1" s="1"/>
  <c r="T41" i="1" s="1"/>
  <c r="D130" i="1"/>
  <c r="C130" i="1"/>
  <c r="B130" i="1"/>
  <c r="D129" i="1"/>
  <c r="C129" i="1"/>
  <c r="O40" i="1" s="1"/>
  <c r="B129" i="1"/>
  <c r="D128" i="1"/>
  <c r="P40" i="1" s="1"/>
  <c r="C128" i="1"/>
  <c r="B128" i="1"/>
  <c r="D127" i="1"/>
  <c r="C127" i="1"/>
  <c r="B127" i="1"/>
  <c r="N40" i="1" s="1"/>
  <c r="D125" i="1"/>
  <c r="C125" i="1"/>
  <c r="B125" i="1"/>
  <c r="D124" i="1"/>
  <c r="C124" i="1"/>
  <c r="B124" i="1"/>
  <c r="D122" i="1"/>
  <c r="C122" i="1"/>
  <c r="B122" i="1"/>
  <c r="N39" i="1" s="1"/>
  <c r="Q39" i="1" s="1"/>
  <c r="D121" i="1"/>
  <c r="D139" i="1" s="1"/>
  <c r="C121" i="1"/>
  <c r="C139" i="1" s="1"/>
  <c r="B121" i="1"/>
  <c r="B139" i="1" s="1"/>
  <c r="D115" i="1"/>
  <c r="P35" i="1" s="1"/>
  <c r="S35" i="1" s="1"/>
  <c r="C115" i="1"/>
  <c r="B115" i="1"/>
  <c r="D114" i="1"/>
  <c r="C114" i="1"/>
  <c r="B114" i="1"/>
  <c r="D113" i="1"/>
  <c r="C113" i="1"/>
  <c r="O35" i="1" s="1"/>
  <c r="B113" i="1"/>
  <c r="N35" i="1" s="1"/>
  <c r="D112" i="1"/>
  <c r="C112" i="1"/>
  <c r="B112" i="1"/>
  <c r="D111" i="1"/>
  <c r="C111" i="1"/>
  <c r="B111" i="1"/>
  <c r="D110" i="1"/>
  <c r="C110" i="1"/>
  <c r="O34" i="1" s="1"/>
  <c r="R34" i="1" s="1"/>
  <c r="B110" i="1"/>
  <c r="D109" i="1"/>
  <c r="C109" i="1"/>
  <c r="B109" i="1"/>
  <c r="N34" i="1" s="1"/>
  <c r="Q34" i="1" s="1"/>
  <c r="D107" i="1"/>
  <c r="C107" i="1"/>
  <c r="B107" i="1"/>
  <c r="D106" i="1"/>
  <c r="C106" i="1"/>
  <c r="B106" i="1"/>
  <c r="N33" i="1" s="1"/>
  <c r="D105" i="1"/>
  <c r="P33" i="1" s="1"/>
  <c r="C105" i="1"/>
  <c r="O33" i="1" s="1"/>
  <c r="R33" i="1" s="1"/>
  <c r="B105" i="1"/>
  <c r="D104" i="1"/>
  <c r="C104" i="1"/>
  <c r="B104" i="1"/>
  <c r="D102" i="1"/>
  <c r="C102" i="1"/>
  <c r="B102" i="1"/>
  <c r="D101" i="1"/>
  <c r="C101" i="1"/>
  <c r="B101" i="1"/>
  <c r="D99" i="1"/>
  <c r="C99" i="1"/>
  <c r="B99" i="1"/>
  <c r="N32" i="1" s="1"/>
  <c r="Q32" i="1" s="1"/>
  <c r="D98" i="1"/>
  <c r="P32" i="1" s="1"/>
  <c r="S32" i="1" s="1"/>
  <c r="C98" i="1"/>
  <c r="O32" i="1" s="1"/>
  <c r="R32" i="1" s="1"/>
  <c r="B98" i="1"/>
  <c r="B116" i="1" s="1"/>
  <c r="D92" i="1"/>
  <c r="C92" i="1"/>
  <c r="B92" i="1"/>
  <c r="D91" i="1"/>
  <c r="C91" i="1"/>
  <c r="B91" i="1"/>
  <c r="D90" i="1"/>
  <c r="P28" i="1" s="1"/>
  <c r="C90" i="1"/>
  <c r="O28" i="1" s="1"/>
  <c r="B90" i="1"/>
  <c r="N28" i="1" s="1"/>
  <c r="D89" i="1"/>
  <c r="P27" i="1" s="1"/>
  <c r="C89" i="1"/>
  <c r="O27" i="1" s="1"/>
  <c r="B89" i="1"/>
  <c r="N27" i="1" s="1"/>
  <c r="D88" i="1"/>
  <c r="C88" i="1"/>
  <c r="B88" i="1"/>
  <c r="D87" i="1"/>
  <c r="C87" i="1"/>
  <c r="B87" i="1"/>
  <c r="D86" i="1"/>
  <c r="C86" i="1"/>
  <c r="B86" i="1"/>
  <c r="D84" i="1"/>
  <c r="C84" i="1"/>
  <c r="B84" i="1"/>
  <c r="D83" i="1"/>
  <c r="C83" i="1"/>
  <c r="O26" i="1" s="1"/>
  <c r="R26" i="1" s="1"/>
  <c r="B83" i="1"/>
  <c r="D82" i="1"/>
  <c r="P26" i="1" s="1"/>
  <c r="S26" i="1" s="1"/>
  <c r="C82" i="1"/>
  <c r="B82" i="1"/>
  <c r="D81" i="1"/>
  <c r="C81" i="1"/>
  <c r="B81" i="1"/>
  <c r="N26" i="1" s="1"/>
  <c r="D79" i="1"/>
  <c r="C79" i="1"/>
  <c r="B79" i="1"/>
  <c r="D78" i="1"/>
  <c r="C78" i="1"/>
  <c r="B78" i="1"/>
  <c r="D76" i="1"/>
  <c r="C76" i="1"/>
  <c r="B76" i="1"/>
  <c r="N25" i="1" s="1"/>
  <c r="D75" i="1"/>
  <c r="D93" i="1" s="1"/>
  <c r="C75" i="1"/>
  <c r="C93" i="1" s="1"/>
  <c r="B75" i="1"/>
  <c r="B93" i="1" s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P20" i="1" s="1"/>
  <c r="C65" i="1"/>
  <c r="B65" i="1"/>
  <c r="D64" i="1"/>
  <c r="C64" i="1"/>
  <c r="O20" i="1" s="1"/>
  <c r="B64" i="1"/>
  <c r="D63" i="1"/>
  <c r="C63" i="1"/>
  <c r="B63" i="1"/>
  <c r="N20" i="1" s="1"/>
  <c r="D61" i="1"/>
  <c r="C61" i="1"/>
  <c r="B61" i="1"/>
  <c r="D60" i="1"/>
  <c r="C60" i="1"/>
  <c r="B60" i="1"/>
  <c r="D59" i="1"/>
  <c r="P19" i="1" s="1"/>
  <c r="C59" i="1"/>
  <c r="B59" i="1"/>
  <c r="D58" i="1"/>
  <c r="C58" i="1"/>
  <c r="B58" i="1"/>
  <c r="D56" i="1"/>
  <c r="C56" i="1"/>
  <c r="B56" i="1"/>
  <c r="D55" i="1"/>
  <c r="C55" i="1"/>
  <c r="B55" i="1"/>
  <c r="D53" i="1"/>
  <c r="C53" i="1"/>
  <c r="B53" i="1"/>
  <c r="N18" i="1" s="1"/>
  <c r="D52" i="1"/>
  <c r="D70" i="1" s="1"/>
  <c r="C52" i="1"/>
  <c r="O18" i="1" s="1"/>
  <c r="B52" i="1"/>
  <c r="B70" i="1" s="1"/>
  <c r="D46" i="1"/>
  <c r="P14" i="1" s="1"/>
  <c r="C46" i="1"/>
  <c r="B46" i="1"/>
  <c r="D45" i="1"/>
  <c r="C45" i="1"/>
  <c r="B45" i="1"/>
  <c r="D44" i="1"/>
  <c r="C44" i="1"/>
  <c r="O14" i="1" s="1"/>
  <c r="B44" i="1"/>
  <c r="N14" i="1" s="1"/>
  <c r="D43" i="1"/>
  <c r="C43" i="1"/>
  <c r="B43" i="1"/>
  <c r="P42" i="1"/>
  <c r="S42" i="1" s="1"/>
  <c r="D42" i="1"/>
  <c r="C42" i="1"/>
  <c r="B42" i="1"/>
  <c r="P41" i="1"/>
  <c r="S41" i="1" s="1"/>
  <c r="D41" i="1"/>
  <c r="C41" i="1"/>
  <c r="B41" i="1"/>
  <c r="D40" i="1"/>
  <c r="P13" i="1" s="1"/>
  <c r="S13" i="1" s="1"/>
  <c r="C40" i="1"/>
  <c r="O13" i="1" s="1"/>
  <c r="R13" i="1" s="1"/>
  <c r="B40" i="1"/>
  <c r="N13" i="1" s="1"/>
  <c r="Q13" i="1" s="1"/>
  <c r="P38" i="1"/>
  <c r="S40" i="1" s="1"/>
  <c r="O38" i="1"/>
  <c r="R40" i="1" s="1"/>
  <c r="N38" i="1"/>
  <c r="D38" i="1"/>
  <c r="C38" i="1"/>
  <c r="B38" i="1"/>
  <c r="D37" i="1"/>
  <c r="C37" i="1"/>
  <c r="B37" i="1"/>
  <c r="N12" i="1" s="1"/>
  <c r="D36" i="1"/>
  <c r="C36" i="1"/>
  <c r="O12" i="1" s="1"/>
  <c r="B36" i="1"/>
  <c r="D35" i="1"/>
  <c r="P12" i="1" s="1"/>
  <c r="C35" i="1"/>
  <c r="B35" i="1"/>
  <c r="P34" i="1"/>
  <c r="S34" i="1" s="1"/>
  <c r="D33" i="1"/>
  <c r="C33" i="1"/>
  <c r="B33" i="1"/>
  <c r="D32" i="1"/>
  <c r="C32" i="1"/>
  <c r="B32" i="1"/>
  <c r="P31" i="1"/>
  <c r="O31" i="1"/>
  <c r="N31" i="1"/>
  <c r="D30" i="1"/>
  <c r="C30" i="1"/>
  <c r="B30" i="1"/>
  <c r="D29" i="1"/>
  <c r="D47" i="1" s="1"/>
  <c r="C29" i="1"/>
  <c r="C47" i="1" s="1"/>
  <c r="B29" i="1"/>
  <c r="B47" i="1" s="1"/>
  <c r="P24" i="1"/>
  <c r="O24" i="1"/>
  <c r="R28" i="1" s="1"/>
  <c r="N24" i="1"/>
  <c r="D24" i="1"/>
  <c r="D23" i="1"/>
  <c r="C23" i="1"/>
  <c r="B23" i="1"/>
  <c r="D22" i="1"/>
  <c r="C22" i="1"/>
  <c r="B22" i="1"/>
  <c r="P21" i="1"/>
  <c r="O21" i="1"/>
  <c r="N21" i="1"/>
  <c r="D21" i="1"/>
  <c r="P7" i="1" s="1"/>
  <c r="S7" i="1" s="1"/>
  <c r="C21" i="1"/>
  <c r="O7" i="1" s="1"/>
  <c r="R7" i="1" s="1"/>
  <c r="B21" i="1"/>
  <c r="N7" i="1" s="1"/>
  <c r="Q7" i="1" s="1"/>
  <c r="O19" i="1"/>
  <c r="N19" i="1"/>
  <c r="D19" i="1"/>
  <c r="C19" i="1"/>
  <c r="B19" i="1"/>
  <c r="D18" i="1"/>
  <c r="C18" i="1"/>
  <c r="B18" i="1"/>
  <c r="P17" i="1"/>
  <c r="O17" i="1"/>
  <c r="R19" i="1" s="1"/>
  <c r="N17" i="1"/>
  <c r="Q21" i="1" s="1"/>
  <c r="D17" i="1"/>
  <c r="P6" i="1" s="1"/>
  <c r="C17" i="1"/>
  <c r="B17" i="1"/>
  <c r="D14" i="1"/>
  <c r="C14" i="1"/>
  <c r="B14" i="1"/>
  <c r="D13" i="1"/>
  <c r="C13" i="1"/>
  <c r="B13" i="1"/>
  <c r="D12" i="1"/>
  <c r="P5" i="1" s="1"/>
  <c r="C12" i="1"/>
  <c r="O5" i="1" s="1"/>
  <c r="B12" i="1"/>
  <c r="N5" i="1" s="1"/>
  <c r="Q5" i="1" s="1"/>
  <c r="P10" i="1"/>
  <c r="O10" i="1"/>
  <c r="R14" i="1" s="1"/>
  <c r="N10" i="1"/>
  <c r="Q12" i="1" s="1"/>
  <c r="D9" i="1"/>
  <c r="C9" i="1"/>
  <c r="B9" i="1"/>
  <c r="D7" i="1"/>
  <c r="C7" i="1"/>
  <c r="B7" i="1"/>
  <c r="O6" i="1"/>
  <c r="R6" i="1" s="1"/>
  <c r="N6" i="1"/>
  <c r="Q6" i="1" s="1"/>
  <c r="D6" i="1"/>
  <c r="P4" i="1" s="1"/>
  <c r="C6" i="1"/>
  <c r="O4" i="1" s="1"/>
  <c r="B6" i="1"/>
  <c r="B24" i="1" s="1"/>
  <c r="N4" i="1"/>
  <c r="Q4" i="1" s="1"/>
  <c r="P3" i="1"/>
  <c r="O3" i="1"/>
  <c r="N3" i="1"/>
  <c r="Q40" i="1" l="1"/>
  <c r="T40" i="1" s="1"/>
  <c r="Q25" i="1"/>
  <c r="T6" i="1"/>
  <c r="S27" i="1"/>
  <c r="T13" i="1"/>
  <c r="S6" i="1"/>
  <c r="T7" i="1"/>
  <c r="T32" i="1"/>
  <c r="B172" i="2"/>
  <c r="B149" i="2"/>
  <c r="B126" i="2"/>
  <c r="B103" i="2"/>
  <c r="B80" i="2"/>
  <c r="C58" i="2"/>
  <c r="B35" i="2"/>
  <c r="C33" i="2"/>
  <c r="D171" i="2"/>
  <c r="D148" i="2"/>
  <c r="D125" i="2"/>
  <c r="D102" i="2"/>
  <c r="D79" i="2"/>
  <c r="B58" i="2"/>
  <c r="C171" i="2"/>
  <c r="C148" i="2"/>
  <c r="O47" i="2" s="1"/>
  <c r="R48" i="2" s="1"/>
  <c r="T48" i="2" s="1"/>
  <c r="Q58" i="2" s="1"/>
  <c r="C125" i="2"/>
  <c r="C102" i="2"/>
  <c r="C79" i="2"/>
  <c r="D57" i="2"/>
  <c r="D34" i="2"/>
  <c r="B171" i="2"/>
  <c r="B148" i="2"/>
  <c r="B125" i="2"/>
  <c r="B102" i="2"/>
  <c r="B79" i="2"/>
  <c r="C57" i="2"/>
  <c r="C34" i="2"/>
  <c r="B57" i="2"/>
  <c r="B34" i="2"/>
  <c r="D56" i="2"/>
  <c r="D33" i="2"/>
  <c r="C56" i="2"/>
  <c r="C12" i="2"/>
  <c r="D174" i="2"/>
  <c r="D151" i="2"/>
  <c r="D128" i="2"/>
  <c r="D105" i="2"/>
  <c r="D82" i="2"/>
  <c r="D59" i="2"/>
  <c r="B56" i="2"/>
  <c r="B33" i="2"/>
  <c r="B12" i="2"/>
  <c r="C174" i="2"/>
  <c r="C151" i="2"/>
  <c r="C128" i="2"/>
  <c r="C105" i="2"/>
  <c r="C82" i="2"/>
  <c r="C59" i="2"/>
  <c r="B174" i="2"/>
  <c r="B151" i="2"/>
  <c r="B128" i="2"/>
  <c r="B105" i="2"/>
  <c r="B82" i="2"/>
  <c r="B59" i="2"/>
  <c r="D36" i="2"/>
  <c r="D11" i="2"/>
  <c r="D173" i="2"/>
  <c r="D150" i="2"/>
  <c r="D127" i="2"/>
  <c r="D104" i="2"/>
  <c r="D81" i="2"/>
  <c r="C36" i="2"/>
  <c r="C11" i="2"/>
  <c r="C173" i="2"/>
  <c r="C150" i="2"/>
  <c r="C127" i="2"/>
  <c r="C104" i="2"/>
  <c r="C81" i="2"/>
  <c r="B36" i="2"/>
  <c r="B11" i="2"/>
  <c r="D12" i="2"/>
  <c r="B173" i="2"/>
  <c r="B150" i="2"/>
  <c r="B127" i="2"/>
  <c r="B104" i="2"/>
  <c r="B81" i="2"/>
  <c r="D172" i="2"/>
  <c r="D149" i="2"/>
  <c r="D126" i="2"/>
  <c r="D103" i="2"/>
  <c r="D80" i="2"/>
  <c r="D35" i="2"/>
  <c r="C172" i="2"/>
  <c r="C149" i="2"/>
  <c r="C126" i="2"/>
  <c r="C103" i="2"/>
  <c r="C80" i="2"/>
  <c r="D58" i="2"/>
  <c r="C35" i="2"/>
  <c r="C53" i="2"/>
  <c r="B7" i="2"/>
  <c r="B53" i="2"/>
  <c r="D51" i="2"/>
  <c r="C28" i="2"/>
  <c r="B100" i="2"/>
  <c r="C51" i="2"/>
  <c r="B28" i="2"/>
  <c r="D5" i="2"/>
  <c r="D169" i="2"/>
  <c r="D146" i="2"/>
  <c r="D123" i="2"/>
  <c r="D100" i="2"/>
  <c r="D77" i="2"/>
  <c r="B51" i="2"/>
  <c r="C5" i="2"/>
  <c r="D4" i="2"/>
  <c r="C169" i="2"/>
  <c r="C146" i="2"/>
  <c r="C123" i="2"/>
  <c r="C100" i="2"/>
  <c r="C77" i="2"/>
  <c r="D50" i="2"/>
  <c r="D27" i="2"/>
  <c r="B5" i="2"/>
  <c r="B123" i="2"/>
  <c r="B77" i="2"/>
  <c r="C50" i="2"/>
  <c r="D168" i="2"/>
  <c r="D145" i="2"/>
  <c r="D122" i="2"/>
  <c r="D99" i="2"/>
  <c r="D76" i="2"/>
  <c r="B50" i="2"/>
  <c r="B27" i="2"/>
  <c r="C168" i="2"/>
  <c r="C145" i="2"/>
  <c r="C122" i="2"/>
  <c r="C99" i="2"/>
  <c r="C76" i="2"/>
  <c r="C4" i="2"/>
  <c r="B168" i="2"/>
  <c r="B145" i="2"/>
  <c r="B122" i="2"/>
  <c r="B99" i="2"/>
  <c r="B76" i="2"/>
  <c r="B4" i="2"/>
  <c r="D166" i="2"/>
  <c r="D143" i="2"/>
  <c r="D120" i="2"/>
  <c r="D97" i="2"/>
  <c r="D74" i="2"/>
  <c r="D31" i="2"/>
  <c r="D30" i="2"/>
  <c r="B169" i="2"/>
  <c r="C166" i="2"/>
  <c r="C143" i="2"/>
  <c r="C120" i="2"/>
  <c r="C97" i="2"/>
  <c r="C74" i="2"/>
  <c r="D54" i="2"/>
  <c r="C31" i="2"/>
  <c r="B166" i="2"/>
  <c r="B143" i="2"/>
  <c r="B120" i="2"/>
  <c r="B97" i="2"/>
  <c r="B74" i="2"/>
  <c r="C54" i="2"/>
  <c r="B31" i="2"/>
  <c r="B146" i="2"/>
  <c r="D165" i="2"/>
  <c r="D142" i="2"/>
  <c r="D119" i="2"/>
  <c r="D96" i="2"/>
  <c r="D73" i="2"/>
  <c r="B54" i="2"/>
  <c r="C165" i="2"/>
  <c r="C142" i="2"/>
  <c r="C119" i="2"/>
  <c r="C96" i="2"/>
  <c r="C73" i="2"/>
  <c r="C30" i="2"/>
  <c r="D7" i="2"/>
  <c r="B165" i="2"/>
  <c r="B142" i="2"/>
  <c r="B119" i="2"/>
  <c r="B96" i="2"/>
  <c r="B73" i="2"/>
  <c r="D53" i="2"/>
  <c r="B30" i="2"/>
  <c r="C7" i="2"/>
  <c r="D28" i="2"/>
  <c r="C27" i="2"/>
  <c r="Q35" i="1"/>
  <c r="T35" i="1" s="1"/>
  <c r="S20" i="1"/>
  <c r="R35" i="1"/>
  <c r="R4" i="1"/>
  <c r="T4" i="1" s="1"/>
  <c r="S12" i="1"/>
  <c r="T12" i="1" s="1"/>
  <c r="S33" i="1"/>
  <c r="T34" i="1"/>
  <c r="B21" i="2"/>
  <c r="D44" i="2"/>
  <c r="C44" i="2"/>
  <c r="D20" i="2"/>
  <c r="C19" i="2"/>
  <c r="D182" i="2"/>
  <c r="D159" i="2"/>
  <c r="D136" i="2"/>
  <c r="D113" i="2"/>
  <c r="D90" i="2"/>
  <c r="D67" i="2"/>
  <c r="B44" i="2"/>
  <c r="C20" i="2"/>
  <c r="C159" i="2"/>
  <c r="C136" i="2"/>
  <c r="C113" i="2"/>
  <c r="C90" i="2"/>
  <c r="C67" i="2"/>
  <c r="D43" i="2"/>
  <c r="B20" i="2"/>
  <c r="D112" i="2"/>
  <c r="C182" i="2"/>
  <c r="B182" i="2"/>
  <c r="B159" i="2"/>
  <c r="B136" i="2"/>
  <c r="B113" i="2"/>
  <c r="B90" i="2"/>
  <c r="B67" i="2"/>
  <c r="C43" i="2"/>
  <c r="D181" i="2"/>
  <c r="D89" i="2"/>
  <c r="C181" i="2"/>
  <c r="C158" i="2"/>
  <c r="C135" i="2"/>
  <c r="C112" i="2"/>
  <c r="C89" i="2"/>
  <c r="C66" i="2"/>
  <c r="B181" i="2"/>
  <c r="B158" i="2"/>
  <c r="B135" i="2"/>
  <c r="B112" i="2"/>
  <c r="B89" i="2"/>
  <c r="B66" i="2"/>
  <c r="D42" i="2"/>
  <c r="B19" i="2"/>
  <c r="D180" i="2"/>
  <c r="D157" i="2"/>
  <c r="D134" i="2"/>
  <c r="D111" i="2"/>
  <c r="D88" i="2"/>
  <c r="D65" i="2"/>
  <c r="C42" i="2"/>
  <c r="C180" i="2"/>
  <c r="C157" i="2"/>
  <c r="C134" i="2"/>
  <c r="C111" i="2"/>
  <c r="C88" i="2"/>
  <c r="C65" i="2"/>
  <c r="B42" i="2"/>
  <c r="B180" i="2"/>
  <c r="B157" i="2"/>
  <c r="B134" i="2"/>
  <c r="B111" i="2"/>
  <c r="B88" i="2"/>
  <c r="B65" i="2"/>
  <c r="D135" i="2"/>
  <c r="D66" i="2"/>
  <c r="D19" i="2"/>
  <c r="B43" i="2"/>
  <c r="D21" i="2"/>
  <c r="C21" i="2"/>
  <c r="D158" i="2"/>
  <c r="O25" i="1"/>
  <c r="S21" i="1"/>
  <c r="R27" i="1"/>
  <c r="N11" i="1"/>
  <c r="Q11" i="1" s="1"/>
  <c r="P18" i="1"/>
  <c r="S18" i="1" s="1"/>
  <c r="R25" i="1"/>
  <c r="R21" i="1"/>
  <c r="T21" i="1" s="1"/>
  <c r="P25" i="1"/>
  <c r="O11" i="1"/>
  <c r="Q14" i="1"/>
  <c r="Q18" i="1"/>
  <c r="S25" i="1"/>
  <c r="Q33" i="1"/>
  <c r="R12" i="1"/>
  <c r="R5" i="1"/>
  <c r="T5" i="1" s="1"/>
  <c r="S14" i="1"/>
  <c r="R20" i="1"/>
  <c r="O39" i="1"/>
  <c r="R39" i="1" s="1"/>
  <c r="T39" i="1" s="1"/>
  <c r="Q42" i="1"/>
  <c r="T42" i="1" s="1"/>
  <c r="S4" i="1"/>
  <c r="S19" i="1"/>
  <c r="P11" i="1"/>
  <c r="S11" i="1" s="1"/>
  <c r="R18" i="1"/>
  <c r="S5" i="1"/>
  <c r="R11" i="1"/>
  <c r="Q28" i="1"/>
  <c r="T28" i="1" s="1"/>
  <c r="P39" i="1"/>
  <c r="S39" i="1" s="1"/>
  <c r="C70" i="1"/>
  <c r="C116" i="1"/>
  <c r="Q27" i="1"/>
  <c r="Q20" i="1"/>
  <c r="D116" i="1"/>
  <c r="Q26" i="1"/>
  <c r="T26" i="1" s="1"/>
  <c r="S28" i="1"/>
  <c r="C24" i="1"/>
  <c r="Q19" i="1"/>
  <c r="T19" i="1" s="1"/>
  <c r="C178" i="2" l="1"/>
  <c r="C155" i="2"/>
  <c r="C132" i="2"/>
  <c r="C109" i="2"/>
  <c r="C86" i="2"/>
  <c r="C63" i="2"/>
  <c r="D40" i="2"/>
  <c r="D15" i="2"/>
  <c r="C15" i="2"/>
  <c r="C22" i="2" s="1"/>
  <c r="B15" i="2"/>
  <c r="B22" i="2" s="1"/>
  <c r="C153" i="2"/>
  <c r="C160" i="2" s="1"/>
  <c r="B178" i="2"/>
  <c r="B155" i="2"/>
  <c r="B160" i="2" s="1"/>
  <c r="B132" i="2"/>
  <c r="B137" i="2" s="1"/>
  <c r="B109" i="2"/>
  <c r="B114" i="2" s="1"/>
  <c r="B86" i="2"/>
  <c r="B63" i="2"/>
  <c r="C40" i="2"/>
  <c r="D177" i="2"/>
  <c r="D154" i="2"/>
  <c r="D131" i="2"/>
  <c r="D108" i="2"/>
  <c r="D85" i="2"/>
  <c r="D62" i="2"/>
  <c r="B40" i="2"/>
  <c r="C177" i="2"/>
  <c r="C183" i="2" s="1"/>
  <c r="C154" i="2"/>
  <c r="C131" i="2"/>
  <c r="C108" i="2"/>
  <c r="C85" i="2"/>
  <c r="C62" i="2"/>
  <c r="B177" i="2"/>
  <c r="B154" i="2"/>
  <c r="B131" i="2"/>
  <c r="B108" i="2"/>
  <c r="B85" i="2"/>
  <c r="B62" i="2"/>
  <c r="D39" i="2"/>
  <c r="C130" i="2"/>
  <c r="C137" i="2" s="1"/>
  <c r="D176" i="2"/>
  <c r="D183" i="2" s="1"/>
  <c r="D153" i="2"/>
  <c r="D160" i="2" s="1"/>
  <c r="D130" i="2"/>
  <c r="D107" i="2"/>
  <c r="D84" i="2"/>
  <c r="D61" i="2"/>
  <c r="D68" i="2" s="1"/>
  <c r="C39" i="2"/>
  <c r="C45" i="2" s="1"/>
  <c r="C84" i="2"/>
  <c r="B176" i="2"/>
  <c r="B183" i="2" s="1"/>
  <c r="B153" i="2"/>
  <c r="B130" i="2"/>
  <c r="B107" i="2"/>
  <c r="B84" i="2"/>
  <c r="B91" i="2" s="1"/>
  <c r="B61" i="2"/>
  <c r="C38" i="2"/>
  <c r="B38" i="2"/>
  <c r="C107" i="2"/>
  <c r="C114" i="2" s="1"/>
  <c r="D17" i="2"/>
  <c r="C17" i="2"/>
  <c r="B39" i="2"/>
  <c r="D179" i="2"/>
  <c r="D156" i="2"/>
  <c r="D133" i="2"/>
  <c r="D110" i="2"/>
  <c r="D114" i="2" s="1"/>
  <c r="D87" i="2"/>
  <c r="D91" i="2" s="1"/>
  <c r="D64" i="2"/>
  <c r="D41" i="2"/>
  <c r="B17" i="2"/>
  <c r="C41" i="2"/>
  <c r="D16" i="2"/>
  <c r="D38" i="2"/>
  <c r="D45" i="2" s="1"/>
  <c r="C179" i="2"/>
  <c r="C156" i="2"/>
  <c r="C133" i="2"/>
  <c r="C110" i="2"/>
  <c r="C87" i="2"/>
  <c r="C64" i="2"/>
  <c r="B179" i="2"/>
  <c r="B156" i="2"/>
  <c r="B133" i="2"/>
  <c r="B110" i="2"/>
  <c r="B87" i="2"/>
  <c r="B64" i="2"/>
  <c r="B41" i="2"/>
  <c r="C16" i="2"/>
  <c r="C176" i="2"/>
  <c r="D178" i="2"/>
  <c r="D155" i="2"/>
  <c r="D132" i="2"/>
  <c r="D109" i="2"/>
  <c r="D86" i="2"/>
  <c r="D63" i="2"/>
  <c r="B16" i="2"/>
  <c r="C61" i="2"/>
  <c r="C68" i="2" s="1"/>
  <c r="T11" i="1"/>
  <c r="T18" i="1"/>
  <c r="D137" i="2"/>
  <c r="T14" i="1"/>
  <c r="B45" i="2"/>
  <c r="B68" i="2"/>
  <c r="C91" i="2"/>
  <c r="D22" i="2"/>
  <c r="T27" i="1"/>
  <c r="T25" i="1"/>
  <c r="T20" i="1"/>
  <c r="T33" i="1"/>
</calcChain>
</file>

<file path=xl/sharedStrings.xml><?xml version="1.0" encoding="utf-8"?>
<sst xmlns="http://schemas.openxmlformats.org/spreadsheetml/2006/main" count="813" uniqueCount="101">
  <si>
    <t>Womens: </t>
  </si>
  <si>
    <t>Team</t>
  </si>
  <si>
    <t>Team:</t>
  </si>
  <si>
    <t>Scoring Cycle</t>
  </si>
  <si>
    <t>Average Score Gold</t>
  </si>
  <si>
    <t>Average Score Silver</t>
  </si>
  <si>
    <t>Average Score Bronze</t>
  </si>
  <si>
    <t>Difference Gold</t>
  </si>
  <si>
    <t>Difference Silver</t>
  </si>
  <si>
    <t>Difference Bronze</t>
  </si>
  <si>
    <t>Average Difference amongst all medals</t>
  </si>
  <si>
    <t>Event</t>
  </si>
  <si>
    <t>Gold (1)</t>
  </si>
  <si>
    <t>Silver (2)</t>
  </si>
  <si>
    <t>Bronze(3)</t>
  </si>
  <si>
    <t>Source</t>
  </si>
  <si>
    <t>2022-2023</t>
  </si>
  <si>
    <t>2023 World Artistic Gymnastics Championships Antwerp, Belgium</t>
  </si>
  <si>
    <t>https://olympics.com/en/news/2023-world-artistic-gymnastics-champs-all-results-scores-complete-list</t>
  </si>
  <si>
    <t>2017-2020</t>
  </si>
  <si>
    <t>2022 World Artistic Gymnastics Championships Liverpool, England</t>
  </si>
  <si>
    <t>https://www.nbcsports.com/olympics/news/gymnastics-world-championships-results</t>
  </si>
  <si>
    <t>2013-2016</t>
  </si>
  <si>
    <t>2020 Olympic Games Tokyo</t>
  </si>
  <si>
    <t>https://olympics.com/en/olympic-games/tokyo-2020/results/artistic-gymnastics/men-s-team</t>
  </si>
  <si>
    <t>2009-2012</t>
  </si>
  <si>
    <t>2019 World Artistic Gymnastics Championships </t>
  </si>
  <si>
    <t>https://www.google.com/url?sa=t&amp;rct=j&amp;q=&amp;esrc=s&amp;source=web&amp;cd=&amp;cad=rja&amp;uact=8&amp;ved=2ahUKEwis1pq89vGBAxW3kIkEHfFSBzkQFnoECAkQAQ&amp;url=https%3A%2F%2Fwww.nbcsports.com%2Folympics%2Fnews%2F2019-world-gymnastics-championships-results&amp;usg=AOvVaw2mylS_nlwFzVwkqNpLP436&amp;opi=89978449</t>
  </si>
  <si>
    <t>2006-2008</t>
  </si>
  <si>
    <t>Stuttgart, Germany</t>
  </si>
  <si>
    <t>All Around</t>
  </si>
  <si>
    <t>2018 World Gymnastics Championships in Doha, Qatar</t>
  </si>
  <si>
    <t>https://www.nbcsports.com/olympics/news/2018-gymnastics-world-championships-results</t>
  </si>
  <si>
    <t>2017 World Gymnastics Championships</t>
  </si>
  <si>
    <t>Event Not Contested</t>
  </si>
  <si>
    <t>https://en.wikipedia.org/wiki/2017_World_Artistic_Gymnastics_Championships</t>
  </si>
  <si>
    <t>Montreal, Canada</t>
  </si>
  <si>
    <t>2016 Olympic Games Rio, Brazil</t>
  </si>
  <si>
    <t>https://olympics.com/en/olympic-games/rio-2016/results/gymnastics-artistic</t>
  </si>
  <si>
    <t>2015 World Gymnastics Championships Glasgow, UK</t>
  </si>
  <si>
    <t>https://en.wikipedia.org/wiki/2015_World_Artistic_Gymnastics_Championships</t>
  </si>
  <si>
    <t>2014 World Championships Nanning, China</t>
  </si>
  <si>
    <t>https://en.wikipedia.org/wiki/2014_World_Artistic_Gymnastics_Championships</t>
  </si>
  <si>
    <t>2013 Worlds </t>
  </si>
  <si>
    <t>No team event contested</t>
  </si>
  <si>
    <t>https://en.wikipedia.org/wiki/2013_World_Artistic_Gymnastics_Championships</t>
  </si>
  <si>
    <t>Floor Exercise</t>
  </si>
  <si>
    <t>Antwerp, Belgium</t>
  </si>
  <si>
    <t>2012 Olympic Games</t>
  </si>
  <si>
    <t>https://olympics.com/en/olympic-games/london-2012/results/gymnastics-artistic/team-competition-men</t>
  </si>
  <si>
    <t>2011 Tokyo Japan</t>
  </si>
  <si>
    <t>https://en.wikipedia.org/wiki/2011_World_Artistic_Gymnastics_Championships</t>
  </si>
  <si>
    <t>https://en.wikipedia.org/wiki/2010_World_Artistic_Gymnastics_Championships</t>
  </si>
  <si>
    <t>https://en.wikipedia.org/wiki/2009_World_Artistic_Gymnastics_Championships</t>
  </si>
  <si>
    <t>2008 Olympics</t>
  </si>
  <si>
    <t>https://olympics.com/en/olympic-games/beijing-2008/results/gymnastics-artistic/team-competition-men</t>
  </si>
  <si>
    <t>https://en.wikipedia.org/wiki/2007_World_Artistic_Gymnastics_Championships</t>
  </si>
  <si>
    <t>Uneven Bars</t>
  </si>
  <si>
    <t>https://en.wikipedia.org/wiki/2006_World_Artistic_Gymnastics_Championships</t>
  </si>
  <si>
    <t>Mean</t>
  </si>
  <si>
    <t>All Around:</t>
  </si>
  <si>
    <t>Vault</t>
  </si>
  <si>
    <t>Balance Beam</t>
  </si>
  <si>
    <t>Scaling factor 2017-2020</t>
  </si>
  <si>
    <t>Scaling factor 2013-2016</t>
  </si>
  <si>
    <t>Scaling Factor 2009-2012</t>
  </si>
  <si>
    <t>Scaling Factor 2006-2008</t>
  </si>
  <si>
    <t>Floor Exercise:</t>
  </si>
  <si>
    <t>Uneven Bars:</t>
  </si>
  <si>
    <t>Vault:</t>
  </si>
  <si>
    <t>Balance Beam:</t>
  </si>
  <si>
    <t>All-Around</t>
  </si>
  <si>
    <t>Medals Awarded Scores Not Found</t>
  </si>
  <si>
    <t>Medals Awarded Scores not found</t>
  </si>
  <si>
    <t>Pommel Horse</t>
  </si>
  <si>
    <t>Rings</t>
  </si>
  <si>
    <t>Parallel Bars</t>
  </si>
  <si>
    <t>High Bar</t>
  </si>
  <si>
    <t>Weight 2017-2020</t>
  </si>
  <si>
    <t>weight 2013-2016</t>
  </si>
  <si>
    <t>weight 2009-2012</t>
  </si>
  <si>
    <t>weight 2006-2008</t>
  </si>
  <si>
    <t>Pommel Horse:</t>
  </si>
  <si>
    <t>Rings:</t>
  </si>
  <si>
    <t>Parallel Bars:</t>
  </si>
  <si>
    <t>Horizontal (High) Bar:</t>
  </si>
  <si>
    <t>Team-Men</t>
  </si>
  <si>
    <t>Last Qualifying Score in</t>
  </si>
  <si>
    <t>Team-Women</t>
  </si>
  <si>
    <t>Mens All Around</t>
  </si>
  <si>
    <t>All Around Women</t>
  </si>
  <si>
    <t>Men's Floor</t>
  </si>
  <si>
    <t>Floor Women</t>
  </si>
  <si>
    <t>Men's Pommel</t>
  </si>
  <si>
    <t>Beam Women</t>
  </si>
  <si>
    <t>Men's Rings</t>
  </si>
  <si>
    <t>Vault Women</t>
  </si>
  <si>
    <t>Men's Vault</t>
  </si>
  <si>
    <t>Uneven Bars Women</t>
  </si>
  <si>
    <t>Men's Parallel Bars</t>
  </si>
  <si>
    <t>Men's High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</si>
</sst>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1"/>
      <color rgb="FF000000"/>
      <name val="Arial"/>
    </font>
    <font>
      <sz val="12"/>
      <color theme="1"/>
      <name val="Calibri"/>
      <scheme val="minor"/>
    </font>
    <font>
      <u/>
      <sz val="12"/>
      <color theme="1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1" fillId="0" borderId="0" xfId="0" applyNumberFormat="1" applyFont="1"/>
    <xf numFmtId="0" fontId="1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13_World_Artistic_Gymnastics_Championships" TargetMode="External"/><Relationship Id="rId21" Type="http://schemas.openxmlformats.org/officeDocument/2006/relationships/hyperlink" Target="https://www.nbcsports.com/olympics/news/2018-gymnastics-world-championships-results" TargetMode="External"/><Relationship Id="rId42" Type="http://schemas.openxmlformats.org/officeDocument/2006/relationships/hyperlink" Target="https://en.wikipedia.org/wiki/2013_World_Artistic_Gymnastics_Championships" TargetMode="External"/><Relationship Id="rId47" Type="http://schemas.openxmlformats.org/officeDocument/2006/relationships/hyperlink" Target="https://en.wikipedia.org/wiki/2007_World_Artistic_Gymnastics_Championships" TargetMode="External"/><Relationship Id="rId63" Type="http://schemas.openxmlformats.org/officeDocument/2006/relationships/hyperlink" Target="https://en.wikipedia.org/wiki/2007_World_Artistic_Gymnastics_Championships" TargetMode="External"/><Relationship Id="rId68" Type="http://schemas.openxmlformats.org/officeDocument/2006/relationships/hyperlink" Target="https://www.nbcsports.com/olympics/news/2019-world-gymnastics-championships-results" TargetMode="External"/><Relationship Id="rId84" Type="http://schemas.openxmlformats.org/officeDocument/2006/relationships/hyperlink" Target="https://www.nbcsports.com/olympics/news/2019-world-gymnastics-championships-results" TargetMode="External"/><Relationship Id="rId89" Type="http://schemas.openxmlformats.org/officeDocument/2006/relationships/hyperlink" Target="https://en.wikipedia.org/wiki/2014_World_Artistic_Gymnastics_Championships" TargetMode="External"/><Relationship Id="rId16" Type="http://schemas.openxmlformats.org/officeDocument/2006/relationships/hyperlink" Target="https://en.wikipedia.org/wiki/2006_World_Artistic_Gymnastics_Championships" TargetMode="External"/><Relationship Id="rId11" Type="http://schemas.openxmlformats.org/officeDocument/2006/relationships/hyperlink" Target="https://olympics.com/en/olympic-games/london-2012/results/gymnastics-artistic/team-competition-men" TargetMode="External"/><Relationship Id="rId32" Type="http://schemas.openxmlformats.org/officeDocument/2006/relationships/hyperlink" Target="https://en.wikipedia.org/wiki/2006_World_Artistic_Gymnastics_Championships" TargetMode="External"/><Relationship Id="rId37" Type="http://schemas.openxmlformats.org/officeDocument/2006/relationships/hyperlink" Target="https://www.nbcsports.com/olympics/news/2018-gymnastics-world-championships-results" TargetMode="External"/><Relationship Id="rId53" Type="http://schemas.openxmlformats.org/officeDocument/2006/relationships/hyperlink" Target="https://www.nbcsports.com/olympics/news/2018-gymnastics-world-championships-results" TargetMode="External"/><Relationship Id="rId58" Type="http://schemas.openxmlformats.org/officeDocument/2006/relationships/hyperlink" Target="https://en.wikipedia.org/wiki/2013_World_Artistic_Gymnastics_Championships" TargetMode="External"/><Relationship Id="rId74" Type="http://schemas.openxmlformats.org/officeDocument/2006/relationships/hyperlink" Target="https://en.wikipedia.org/wiki/2013_World_Artistic_Gymnastics_Championships" TargetMode="External"/><Relationship Id="rId79" Type="http://schemas.openxmlformats.org/officeDocument/2006/relationships/hyperlink" Target="https://en.wikipedia.org/wiki/2007_World_Artistic_Gymnastics_Championships" TargetMode="External"/><Relationship Id="rId5" Type="http://schemas.openxmlformats.org/officeDocument/2006/relationships/hyperlink" Target="https://www.nbcsports.com/olympics/news/2018-gymnastics-world-championships-results" TargetMode="External"/><Relationship Id="rId90" Type="http://schemas.openxmlformats.org/officeDocument/2006/relationships/hyperlink" Target="https://en.wikipedia.org/wiki/2013_World_Artistic_Gymnastics_Championships" TargetMode="External"/><Relationship Id="rId95" Type="http://schemas.openxmlformats.org/officeDocument/2006/relationships/hyperlink" Target="https://en.wikipedia.org/wiki/2007_World_Artistic_Gymnastics_Championships" TargetMode="External"/><Relationship Id="rId22" Type="http://schemas.openxmlformats.org/officeDocument/2006/relationships/hyperlink" Target="https://en.wikipedia.org/wiki/2017_World_Artistic_Gymnastics_Championships" TargetMode="External"/><Relationship Id="rId27" Type="http://schemas.openxmlformats.org/officeDocument/2006/relationships/hyperlink" Target="https://olympics.com/en/olympic-games/london-2012/results/gymnastics-artistic/team-competition-men" TargetMode="External"/><Relationship Id="rId43" Type="http://schemas.openxmlformats.org/officeDocument/2006/relationships/hyperlink" Target="https://olympics.com/en/olympic-games/london-2012/results/gymnastics-artistic/team-competition-men" TargetMode="External"/><Relationship Id="rId48" Type="http://schemas.openxmlformats.org/officeDocument/2006/relationships/hyperlink" Target="https://en.wikipedia.org/wiki/2006_World_Artistic_Gymnastics_Championships" TargetMode="External"/><Relationship Id="rId64" Type="http://schemas.openxmlformats.org/officeDocument/2006/relationships/hyperlink" Target="https://en.wikipedia.org/wiki/2006_World_Artistic_Gymnastics_Championships" TargetMode="External"/><Relationship Id="rId69" Type="http://schemas.openxmlformats.org/officeDocument/2006/relationships/hyperlink" Target="https://www.nbcsports.com/olympics/news/2018-gymnastics-world-championships-results" TargetMode="External"/><Relationship Id="rId8" Type="http://schemas.openxmlformats.org/officeDocument/2006/relationships/hyperlink" Target="https://en.wikipedia.org/wiki/2015_World_Artistic_Gymnastics_Championships" TargetMode="External"/><Relationship Id="rId51" Type="http://schemas.openxmlformats.org/officeDocument/2006/relationships/hyperlink" Target="https://olympics.com/en/olympic-games/tokyo-2020/results/artistic-gymnastics/men-s-team" TargetMode="External"/><Relationship Id="rId72" Type="http://schemas.openxmlformats.org/officeDocument/2006/relationships/hyperlink" Target="https://en.wikipedia.org/wiki/2015_World_Artistic_Gymnastics_Championships" TargetMode="External"/><Relationship Id="rId80" Type="http://schemas.openxmlformats.org/officeDocument/2006/relationships/hyperlink" Target="https://en.wikipedia.org/wiki/2006_World_Artistic_Gymnastics_Championships" TargetMode="External"/><Relationship Id="rId85" Type="http://schemas.openxmlformats.org/officeDocument/2006/relationships/hyperlink" Target="https://www.nbcsports.com/olympics/news/2018-gymnastics-world-championships-results" TargetMode="External"/><Relationship Id="rId93" Type="http://schemas.openxmlformats.org/officeDocument/2006/relationships/hyperlink" Target="https://en.wikipedia.org/wiki/2010_World_Artistic_Gymnastics_Championships" TargetMode="External"/><Relationship Id="rId3" Type="http://schemas.openxmlformats.org/officeDocument/2006/relationships/hyperlink" Target="https://olympics.com/en/olympic-games/tokyo-2020/results/artistic-gymnastics/men-s-team" TargetMode="External"/><Relationship Id="rId12" Type="http://schemas.openxmlformats.org/officeDocument/2006/relationships/hyperlink" Target="https://en.wikipedia.org/wiki/2011_World_Artistic_Gymnastics_Championships" TargetMode="External"/><Relationship Id="rId17" Type="http://schemas.openxmlformats.org/officeDocument/2006/relationships/hyperlink" Target="https://olympics.com/en/news/2023-world-artistic-gymnastics-champs-all-results-scores-complete-list" TargetMode="External"/><Relationship Id="rId25" Type="http://schemas.openxmlformats.org/officeDocument/2006/relationships/hyperlink" Target="https://en.wikipedia.org/wiki/2014_World_Artistic_Gymnastics_Championships" TargetMode="External"/><Relationship Id="rId33" Type="http://schemas.openxmlformats.org/officeDocument/2006/relationships/hyperlink" Target="https://olympics.com/en/news/2023-world-artistic-gymnastics-champs-all-results-scores-complete-list" TargetMode="External"/><Relationship Id="rId38" Type="http://schemas.openxmlformats.org/officeDocument/2006/relationships/hyperlink" Target="https://en.wikipedia.org/wiki/2017_World_Artistic_Gymnastics_Championships" TargetMode="External"/><Relationship Id="rId46" Type="http://schemas.openxmlformats.org/officeDocument/2006/relationships/hyperlink" Target="https://en.wikipedia.org/wiki/2009_World_Artistic_Gymnastics_Championships" TargetMode="External"/><Relationship Id="rId59" Type="http://schemas.openxmlformats.org/officeDocument/2006/relationships/hyperlink" Target="https://olympics.com/en/olympic-games/london-2012/results/gymnastics-artistic/team-competition-men" TargetMode="External"/><Relationship Id="rId67" Type="http://schemas.openxmlformats.org/officeDocument/2006/relationships/hyperlink" Target="https://olympics.com/en/olympic-games/tokyo-2020/results/artistic-gymnastics/men-s-team" TargetMode="External"/><Relationship Id="rId20" Type="http://schemas.openxmlformats.org/officeDocument/2006/relationships/hyperlink" Target="https://www.nbcsports.com/olympics/news/2019-world-gymnastics-championships-results" TargetMode="External"/><Relationship Id="rId41" Type="http://schemas.openxmlformats.org/officeDocument/2006/relationships/hyperlink" Target="https://en.wikipedia.org/wiki/2014_World_Artistic_Gymnastics_Championships" TargetMode="External"/><Relationship Id="rId54" Type="http://schemas.openxmlformats.org/officeDocument/2006/relationships/hyperlink" Target="https://en.wikipedia.org/wiki/2017_World_Artistic_Gymnastics_Championships" TargetMode="External"/><Relationship Id="rId62" Type="http://schemas.openxmlformats.org/officeDocument/2006/relationships/hyperlink" Target="https://en.wikipedia.org/wiki/2009_World_Artistic_Gymnastics_Championships" TargetMode="External"/><Relationship Id="rId70" Type="http://schemas.openxmlformats.org/officeDocument/2006/relationships/hyperlink" Target="https://en.wikipedia.org/wiki/2017_World_Artistic_Gymnastics_Championships" TargetMode="External"/><Relationship Id="rId75" Type="http://schemas.openxmlformats.org/officeDocument/2006/relationships/hyperlink" Target="https://olympics.com/en/olympic-games/london-2012/results/gymnastics-artistic/team-competition-men" TargetMode="External"/><Relationship Id="rId83" Type="http://schemas.openxmlformats.org/officeDocument/2006/relationships/hyperlink" Target="https://olympics.com/en/olympic-games/tokyo-2020/results/artistic-gymnastics/men-s-team" TargetMode="External"/><Relationship Id="rId88" Type="http://schemas.openxmlformats.org/officeDocument/2006/relationships/hyperlink" Target="https://en.wikipedia.org/wiki/2015_World_Artistic_Gymnastics_Championships" TargetMode="External"/><Relationship Id="rId91" Type="http://schemas.openxmlformats.org/officeDocument/2006/relationships/hyperlink" Target="https://olympics.com/en/olympic-games/london-2012/results/gymnastics-artistic/team-competition-men" TargetMode="External"/><Relationship Id="rId96" Type="http://schemas.openxmlformats.org/officeDocument/2006/relationships/hyperlink" Target="https://en.wikipedia.org/wiki/2006_World_Artistic_Gymnastics_Championships" TargetMode="External"/><Relationship Id="rId1" Type="http://schemas.openxmlformats.org/officeDocument/2006/relationships/hyperlink" Target="https://olympics.com/en/news/2023-world-artistic-gymnastics-champs-all-results-scores-complete-list" TargetMode="External"/><Relationship Id="rId6" Type="http://schemas.openxmlformats.org/officeDocument/2006/relationships/hyperlink" Target="https://en.wikipedia.org/wiki/2017_World_Artistic_Gymnastics_Championships" TargetMode="External"/><Relationship Id="rId15" Type="http://schemas.openxmlformats.org/officeDocument/2006/relationships/hyperlink" Target="https://en.wikipedia.org/wiki/2007_World_Artistic_Gymnastics_Championships" TargetMode="External"/><Relationship Id="rId23" Type="http://schemas.openxmlformats.org/officeDocument/2006/relationships/hyperlink" Target="https://olympics.com/en/olympic-games/rio-2016/results/gymnastics-artistic" TargetMode="External"/><Relationship Id="rId28" Type="http://schemas.openxmlformats.org/officeDocument/2006/relationships/hyperlink" Target="https://en.wikipedia.org/wiki/2011_World_Artistic_Gymnastics_Championships" TargetMode="External"/><Relationship Id="rId36" Type="http://schemas.openxmlformats.org/officeDocument/2006/relationships/hyperlink" Target="https://www.nbcsports.com/olympics/news/2019-world-gymnastics-championships-results" TargetMode="External"/><Relationship Id="rId49" Type="http://schemas.openxmlformats.org/officeDocument/2006/relationships/hyperlink" Target="https://olympics.com/en/news/2023-world-artistic-gymnastics-champs-all-results-scores-complete-list" TargetMode="External"/><Relationship Id="rId57" Type="http://schemas.openxmlformats.org/officeDocument/2006/relationships/hyperlink" Target="https://en.wikipedia.org/wiki/2014_World_Artistic_Gymnastics_Championships" TargetMode="External"/><Relationship Id="rId10" Type="http://schemas.openxmlformats.org/officeDocument/2006/relationships/hyperlink" Target="https://en.wikipedia.org/wiki/2013_World_Artistic_Gymnastics_Championships" TargetMode="External"/><Relationship Id="rId31" Type="http://schemas.openxmlformats.org/officeDocument/2006/relationships/hyperlink" Target="https://en.wikipedia.org/wiki/2007_World_Artistic_Gymnastics_Championships" TargetMode="External"/><Relationship Id="rId44" Type="http://schemas.openxmlformats.org/officeDocument/2006/relationships/hyperlink" Target="https://en.wikipedia.org/wiki/2011_World_Artistic_Gymnastics_Championships" TargetMode="External"/><Relationship Id="rId52" Type="http://schemas.openxmlformats.org/officeDocument/2006/relationships/hyperlink" Target="https://www.nbcsports.com/olympics/news/2019-world-gymnastics-championships-results" TargetMode="External"/><Relationship Id="rId60" Type="http://schemas.openxmlformats.org/officeDocument/2006/relationships/hyperlink" Target="https://en.wikipedia.org/wiki/2011_World_Artistic_Gymnastics_Championships" TargetMode="External"/><Relationship Id="rId65" Type="http://schemas.openxmlformats.org/officeDocument/2006/relationships/hyperlink" Target="https://olympics.com/en/news/2023-world-artistic-gymnastics-champs-all-results-scores-complete-list" TargetMode="External"/><Relationship Id="rId73" Type="http://schemas.openxmlformats.org/officeDocument/2006/relationships/hyperlink" Target="https://en.wikipedia.org/wiki/2014_World_Artistic_Gymnastics_Championships" TargetMode="External"/><Relationship Id="rId78" Type="http://schemas.openxmlformats.org/officeDocument/2006/relationships/hyperlink" Target="https://en.wikipedia.org/wiki/2009_World_Artistic_Gymnastics_Championships" TargetMode="External"/><Relationship Id="rId81" Type="http://schemas.openxmlformats.org/officeDocument/2006/relationships/hyperlink" Target="https://olympics.com/en/news/2023-world-artistic-gymnastics-champs-all-results-scores-complete-list" TargetMode="External"/><Relationship Id="rId86" Type="http://schemas.openxmlformats.org/officeDocument/2006/relationships/hyperlink" Target="https://en.wikipedia.org/wiki/2017_World_Artistic_Gymnastics_Championships" TargetMode="External"/><Relationship Id="rId94" Type="http://schemas.openxmlformats.org/officeDocument/2006/relationships/hyperlink" Target="https://en.wikipedia.org/wiki/2009_World_Artistic_Gymnastics_Championships" TargetMode="External"/><Relationship Id="rId4" Type="http://schemas.openxmlformats.org/officeDocument/2006/relationships/hyperlink" Target="https://www.nbcsports.com/olympics/news/2019-world-gymnastics-championships-results" TargetMode="External"/><Relationship Id="rId9" Type="http://schemas.openxmlformats.org/officeDocument/2006/relationships/hyperlink" Target="https://en.wikipedia.org/wiki/2014_World_Artistic_Gymnastics_Championships" TargetMode="External"/><Relationship Id="rId13" Type="http://schemas.openxmlformats.org/officeDocument/2006/relationships/hyperlink" Target="https://en.wikipedia.org/wiki/2010_World_Artistic_Gymnastics_Championships" TargetMode="External"/><Relationship Id="rId18" Type="http://schemas.openxmlformats.org/officeDocument/2006/relationships/hyperlink" Target="https://www.nbcsports.com/olympics/news/gymnastics-world-championships-results" TargetMode="External"/><Relationship Id="rId39" Type="http://schemas.openxmlformats.org/officeDocument/2006/relationships/hyperlink" Target="https://olympics.com/en/olympic-games/rio-2016/results/gymnastics-artistic" TargetMode="External"/><Relationship Id="rId34" Type="http://schemas.openxmlformats.org/officeDocument/2006/relationships/hyperlink" Target="https://www.nbcsports.com/olympics/news/gymnastics-world-championships-results" TargetMode="External"/><Relationship Id="rId50" Type="http://schemas.openxmlformats.org/officeDocument/2006/relationships/hyperlink" Target="https://www.nbcsports.com/olympics/news/gymnastics-world-championships-results" TargetMode="External"/><Relationship Id="rId55" Type="http://schemas.openxmlformats.org/officeDocument/2006/relationships/hyperlink" Target="https://olympics.com/en/olympic-games/rio-2016/results/gymnastics-artistic" TargetMode="External"/><Relationship Id="rId76" Type="http://schemas.openxmlformats.org/officeDocument/2006/relationships/hyperlink" Target="https://en.wikipedia.org/wiki/2011_World_Artistic_Gymnastics_Championships" TargetMode="External"/><Relationship Id="rId7" Type="http://schemas.openxmlformats.org/officeDocument/2006/relationships/hyperlink" Target="https://olympics.com/en/olympic-games/rio-2016/results/gymnastics-artistic" TargetMode="External"/><Relationship Id="rId71" Type="http://schemas.openxmlformats.org/officeDocument/2006/relationships/hyperlink" Target="https://olympics.com/en/olympic-games/rio-2016/results/gymnastics-artistic" TargetMode="External"/><Relationship Id="rId92" Type="http://schemas.openxmlformats.org/officeDocument/2006/relationships/hyperlink" Target="https://en.wikipedia.org/wiki/2011_World_Artistic_Gymnastics_Championships" TargetMode="External"/><Relationship Id="rId2" Type="http://schemas.openxmlformats.org/officeDocument/2006/relationships/hyperlink" Target="https://www.nbcsports.com/olympics/news/gymnastics-world-championships-results" TargetMode="External"/><Relationship Id="rId29" Type="http://schemas.openxmlformats.org/officeDocument/2006/relationships/hyperlink" Target="https://en.wikipedia.org/wiki/2010_World_Artistic_Gymnastics_Championships" TargetMode="External"/><Relationship Id="rId24" Type="http://schemas.openxmlformats.org/officeDocument/2006/relationships/hyperlink" Target="https://en.wikipedia.org/wiki/2015_World_Artistic_Gymnastics_Championships" TargetMode="External"/><Relationship Id="rId40" Type="http://schemas.openxmlformats.org/officeDocument/2006/relationships/hyperlink" Target="https://en.wikipedia.org/wiki/2015_World_Artistic_Gymnastics_Championships" TargetMode="External"/><Relationship Id="rId45" Type="http://schemas.openxmlformats.org/officeDocument/2006/relationships/hyperlink" Target="https://en.wikipedia.org/wiki/2010_World_Artistic_Gymnastics_Championships" TargetMode="External"/><Relationship Id="rId66" Type="http://schemas.openxmlformats.org/officeDocument/2006/relationships/hyperlink" Target="https://www.nbcsports.com/olympics/news/gymnastics-world-championships-results" TargetMode="External"/><Relationship Id="rId87" Type="http://schemas.openxmlformats.org/officeDocument/2006/relationships/hyperlink" Target="https://olympics.com/en/olympic-games/rio-2016/results/gymnastics-artistic" TargetMode="External"/><Relationship Id="rId61" Type="http://schemas.openxmlformats.org/officeDocument/2006/relationships/hyperlink" Target="https://en.wikipedia.org/wiki/2010_World_Artistic_Gymnastics_Championships" TargetMode="External"/><Relationship Id="rId82" Type="http://schemas.openxmlformats.org/officeDocument/2006/relationships/hyperlink" Target="https://www.nbcsports.com/olympics/news/gymnastics-world-championships-results" TargetMode="External"/><Relationship Id="rId19" Type="http://schemas.openxmlformats.org/officeDocument/2006/relationships/hyperlink" Target="https://olympics.com/en/olympic-games/tokyo-2020/results/artistic-gymnastics/men-s-team" TargetMode="External"/><Relationship Id="rId14" Type="http://schemas.openxmlformats.org/officeDocument/2006/relationships/hyperlink" Target="https://en.wikipedia.org/wiki/2009_World_Artistic_Gymnastics_Championships" TargetMode="External"/><Relationship Id="rId30" Type="http://schemas.openxmlformats.org/officeDocument/2006/relationships/hyperlink" Target="https://en.wikipedia.org/wiki/2009_World_Artistic_Gymnastics_Championships" TargetMode="External"/><Relationship Id="rId35" Type="http://schemas.openxmlformats.org/officeDocument/2006/relationships/hyperlink" Target="https://olympics.com/en/olympic-games/tokyo-2020/results/artistic-gymnastics/men-s-team" TargetMode="External"/><Relationship Id="rId56" Type="http://schemas.openxmlformats.org/officeDocument/2006/relationships/hyperlink" Target="https://en.wikipedia.org/wiki/2015_World_Artistic_Gymnastics_Championships" TargetMode="External"/><Relationship Id="rId77" Type="http://schemas.openxmlformats.org/officeDocument/2006/relationships/hyperlink" Target="https://en.wikipedia.org/wiki/2010_World_Artistic_Gymnastics_Championship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13_World_Artistic_Gymnastics_Championships" TargetMode="External"/><Relationship Id="rId117" Type="http://schemas.openxmlformats.org/officeDocument/2006/relationships/hyperlink" Target="https://www.nbcsports.com/olympics/news/2018-gymnastics-world-championships-results" TargetMode="External"/><Relationship Id="rId21" Type="http://schemas.openxmlformats.org/officeDocument/2006/relationships/hyperlink" Target="https://www.nbcsports.com/olympics/news/2018-gymnastics-world-championships-results" TargetMode="External"/><Relationship Id="rId42" Type="http://schemas.openxmlformats.org/officeDocument/2006/relationships/hyperlink" Target="https://en.wikipedia.org/wiki/2013_World_Artistic_Gymnastics_Championships" TargetMode="External"/><Relationship Id="rId47" Type="http://schemas.openxmlformats.org/officeDocument/2006/relationships/hyperlink" Target="https://en.wikipedia.org/wiki/2007_World_Artistic_Gymnastics_Championships" TargetMode="External"/><Relationship Id="rId63" Type="http://schemas.openxmlformats.org/officeDocument/2006/relationships/hyperlink" Target="https://en.wikipedia.org/wiki/2007_World_Artistic_Gymnastics_Championships" TargetMode="External"/><Relationship Id="rId68" Type="http://schemas.openxmlformats.org/officeDocument/2006/relationships/hyperlink" Target="https://www.nbcsports.com/olympics/news/2019-world-gymnastics-championships-results" TargetMode="External"/><Relationship Id="rId84" Type="http://schemas.openxmlformats.org/officeDocument/2006/relationships/hyperlink" Target="https://www.nbcsports.com/olympics/news/2019-world-gymnastics-championships-results" TargetMode="External"/><Relationship Id="rId89" Type="http://schemas.openxmlformats.org/officeDocument/2006/relationships/hyperlink" Target="https://en.wikipedia.org/wiki/2014_World_Artistic_Gymnastics_Championships" TargetMode="External"/><Relationship Id="rId112" Type="http://schemas.openxmlformats.org/officeDocument/2006/relationships/hyperlink" Target="https://en.wikipedia.org/wiki/2006_World_Artistic_Gymnastics_Championships" TargetMode="External"/><Relationship Id="rId16" Type="http://schemas.openxmlformats.org/officeDocument/2006/relationships/hyperlink" Target="https://en.wikipedia.org/wiki/2006_World_Artistic_Gymnastics_Championships" TargetMode="External"/><Relationship Id="rId107" Type="http://schemas.openxmlformats.org/officeDocument/2006/relationships/hyperlink" Target="https://olympics.com/en/olympic-games/london-2012/results/gymnastics-artistic/team-competition-men" TargetMode="External"/><Relationship Id="rId11" Type="http://schemas.openxmlformats.org/officeDocument/2006/relationships/hyperlink" Target="https://olympics.com/en/olympic-games/london-2012/results/gymnastics-artistic/team-competition-men" TargetMode="External"/><Relationship Id="rId32" Type="http://schemas.openxmlformats.org/officeDocument/2006/relationships/hyperlink" Target="https://en.wikipedia.org/wiki/2006_World_Artistic_Gymnastics_Championships" TargetMode="External"/><Relationship Id="rId37" Type="http://schemas.openxmlformats.org/officeDocument/2006/relationships/hyperlink" Target="https://www.nbcsports.com/olympics/news/2018-gymnastics-world-championships-results" TargetMode="External"/><Relationship Id="rId53" Type="http://schemas.openxmlformats.org/officeDocument/2006/relationships/hyperlink" Target="https://www.nbcsports.com/olympics/news/2018-gymnastics-world-championships-results" TargetMode="External"/><Relationship Id="rId58" Type="http://schemas.openxmlformats.org/officeDocument/2006/relationships/hyperlink" Target="https://en.wikipedia.org/wiki/2013_World_Artistic_Gymnastics_Championships" TargetMode="External"/><Relationship Id="rId74" Type="http://schemas.openxmlformats.org/officeDocument/2006/relationships/hyperlink" Target="https://en.wikipedia.org/wiki/2013_World_Artistic_Gymnastics_Championships" TargetMode="External"/><Relationship Id="rId79" Type="http://schemas.openxmlformats.org/officeDocument/2006/relationships/hyperlink" Target="https://en.wikipedia.org/wiki/2007_World_Artistic_Gymnastics_Championships" TargetMode="External"/><Relationship Id="rId102" Type="http://schemas.openxmlformats.org/officeDocument/2006/relationships/hyperlink" Target="https://en.wikipedia.org/wiki/2017_World_Artistic_Gymnastics_Championships" TargetMode="External"/><Relationship Id="rId123" Type="http://schemas.openxmlformats.org/officeDocument/2006/relationships/hyperlink" Target="https://olympics.com/en/olympic-games/london-2012/results/gymnastics-artistic/team-competition-men" TargetMode="External"/><Relationship Id="rId128" Type="http://schemas.openxmlformats.org/officeDocument/2006/relationships/hyperlink" Target="https://en.wikipedia.org/wiki/2006_World_Artistic_Gymnastics_Championships" TargetMode="External"/><Relationship Id="rId5" Type="http://schemas.openxmlformats.org/officeDocument/2006/relationships/hyperlink" Target="https://www.nbcsports.com/olympics/news/2018-gymnastics-world-championships-results" TargetMode="External"/><Relationship Id="rId90" Type="http://schemas.openxmlformats.org/officeDocument/2006/relationships/hyperlink" Target="https://en.wikipedia.org/wiki/2013_World_Artistic_Gymnastics_Championships" TargetMode="External"/><Relationship Id="rId95" Type="http://schemas.openxmlformats.org/officeDocument/2006/relationships/hyperlink" Target="https://en.wikipedia.org/wiki/2007_World_Artistic_Gymnastics_Championships" TargetMode="External"/><Relationship Id="rId22" Type="http://schemas.openxmlformats.org/officeDocument/2006/relationships/hyperlink" Target="https://en.wikipedia.org/wiki/2017_World_Artistic_Gymnastics_Championships" TargetMode="External"/><Relationship Id="rId27" Type="http://schemas.openxmlformats.org/officeDocument/2006/relationships/hyperlink" Target="https://olympics.com/en/olympic-games/london-2012/results/gymnastics-artistic/team-competition-men" TargetMode="External"/><Relationship Id="rId43" Type="http://schemas.openxmlformats.org/officeDocument/2006/relationships/hyperlink" Target="https://olympics.com/en/olympic-games/london-2012/results/gymnastics-artistic/team-competition-men" TargetMode="External"/><Relationship Id="rId48" Type="http://schemas.openxmlformats.org/officeDocument/2006/relationships/hyperlink" Target="https://en.wikipedia.org/wiki/2006_World_Artistic_Gymnastics_Championships" TargetMode="External"/><Relationship Id="rId64" Type="http://schemas.openxmlformats.org/officeDocument/2006/relationships/hyperlink" Target="https://en.wikipedia.org/wiki/2006_World_Artistic_Gymnastics_Championships" TargetMode="External"/><Relationship Id="rId69" Type="http://schemas.openxmlformats.org/officeDocument/2006/relationships/hyperlink" Target="https://www.nbcsports.com/olympics/news/2018-gymnastics-world-championships-results" TargetMode="External"/><Relationship Id="rId113" Type="http://schemas.openxmlformats.org/officeDocument/2006/relationships/hyperlink" Target="https://olympics.com/en/news/2023-world-artistic-gymnastics-champs-all-results-scores-complete-list" TargetMode="External"/><Relationship Id="rId118" Type="http://schemas.openxmlformats.org/officeDocument/2006/relationships/hyperlink" Target="https://en.wikipedia.org/wiki/2017_World_Artistic_Gymnastics_Championships" TargetMode="External"/><Relationship Id="rId80" Type="http://schemas.openxmlformats.org/officeDocument/2006/relationships/hyperlink" Target="https://en.wikipedia.org/wiki/2006_World_Artistic_Gymnastics_Championships" TargetMode="External"/><Relationship Id="rId85" Type="http://schemas.openxmlformats.org/officeDocument/2006/relationships/hyperlink" Target="https://www.nbcsports.com/olympics/news/2018-gymnastics-world-championships-results" TargetMode="External"/><Relationship Id="rId12" Type="http://schemas.openxmlformats.org/officeDocument/2006/relationships/hyperlink" Target="https://en.wikipedia.org/wiki/2011_World_Artistic_Gymnastics_Championships" TargetMode="External"/><Relationship Id="rId17" Type="http://schemas.openxmlformats.org/officeDocument/2006/relationships/hyperlink" Target="https://olympics.com/en/news/2023-world-artistic-gymnastics-champs-all-results-scores-complete-list" TargetMode="External"/><Relationship Id="rId33" Type="http://schemas.openxmlformats.org/officeDocument/2006/relationships/hyperlink" Target="https://olympics.com/en/news/2023-world-artistic-gymnastics-champs-all-results-scores-complete-list" TargetMode="External"/><Relationship Id="rId38" Type="http://schemas.openxmlformats.org/officeDocument/2006/relationships/hyperlink" Target="https://en.wikipedia.org/wiki/2017_World_Artistic_Gymnastics_Championships" TargetMode="External"/><Relationship Id="rId59" Type="http://schemas.openxmlformats.org/officeDocument/2006/relationships/hyperlink" Target="https://olympics.com/en/olympic-games/london-2012/results/gymnastics-artistic/team-competition-men" TargetMode="External"/><Relationship Id="rId103" Type="http://schemas.openxmlformats.org/officeDocument/2006/relationships/hyperlink" Target="https://olympics.com/en/olympic-games/rio-2016/results/gymnastics-artistic" TargetMode="External"/><Relationship Id="rId108" Type="http://schemas.openxmlformats.org/officeDocument/2006/relationships/hyperlink" Target="https://en.wikipedia.org/wiki/2011_World_Artistic_Gymnastics_Championships" TargetMode="External"/><Relationship Id="rId124" Type="http://schemas.openxmlformats.org/officeDocument/2006/relationships/hyperlink" Target="https://en.wikipedia.org/wiki/2011_World_Artistic_Gymnastics_Championships" TargetMode="External"/><Relationship Id="rId54" Type="http://schemas.openxmlformats.org/officeDocument/2006/relationships/hyperlink" Target="https://en.wikipedia.org/wiki/2017_World_Artistic_Gymnastics_Championships" TargetMode="External"/><Relationship Id="rId70" Type="http://schemas.openxmlformats.org/officeDocument/2006/relationships/hyperlink" Target="https://en.wikipedia.org/wiki/2017_World_Artistic_Gymnastics_Championships" TargetMode="External"/><Relationship Id="rId75" Type="http://schemas.openxmlformats.org/officeDocument/2006/relationships/hyperlink" Target="https://olympics.com/en/olympic-games/london-2012/results/gymnastics-artistic/team-competition-men" TargetMode="External"/><Relationship Id="rId91" Type="http://schemas.openxmlformats.org/officeDocument/2006/relationships/hyperlink" Target="https://olympics.com/en/olympic-games/london-2012/results/gymnastics-artistic/team-competition-men" TargetMode="External"/><Relationship Id="rId96" Type="http://schemas.openxmlformats.org/officeDocument/2006/relationships/hyperlink" Target="https://en.wikipedia.org/wiki/2006_World_Artistic_Gymnastics_Championships" TargetMode="External"/><Relationship Id="rId1" Type="http://schemas.openxmlformats.org/officeDocument/2006/relationships/hyperlink" Target="https://olympics.com/en/news/2023-world-artistic-gymnastics-champs-all-results-scores-complete-list" TargetMode="External"/><Relationship Id="rId6" Type="http://schemas.openxmlformats.org/officeDocument/2006/relationships/hyperlink" Target="https://en.wikipedia.org/wiki/2017_World_Artistic_Gymnastics_Championships" TargetMode="External"/><Relationship Id="rId23" Type="http://schemas.openxmlformats.org/officeDocument/2006/relationships/hyperlink" Target="https://olympics.com/en/olympic-games/rio-2016/results/gymnastics-artistic" TargetMode="External"/><Relationship Id="rId28" Type="http://schemas.openxmlformats.org/officeDocument/2006/relationships/hyperlink" Target="https://en.wikipedia.org/wiki/2011_World_Artistic_Gymnastics_Championships" TargetMode="External"/><Relationship Id="rId49" Type="http://schemas.openxmlformats.org/officeDocument/2006/relationships/hyperlink" Target="https://olympics.com/en/news/2023-world-artistic-gymnastics-champs-all-results-scores-complete-list" TargetMode="External"/><Relationship Id="rId114" Type="http://schemas.openxmlformats.org/officeDocument/2006/relationships/hyperlink" Target="https://www.nbcsports.com/olympics/news/gymnastics-world-championships-results" TargetMode="External"/><Relationship Id="rId119" Type="http://schemas.openxmlformats.org/officeDocument/2006/relationships/hyperlink" Target="https://olympics.com/en/olympic-games/rio-2016/results/gymnastics-artistic" TargetMode="External"/><Relationship Id="rId44" Type="http://schemas.openxmlformats.org/officeDocument/2006/relationships/hyperlink" Target="https://en.wikipedia.org/wiki/2011_World_Artistic_Gymnastics_Championships" TargetMode="External"/><Relationship Id="rId60" Type="http://schemas.openxmlformats.org/officeDocument/2006/relationships/hyperlink" Target="https://en.wikipedia.org/wiki/2011_World_Artistic_Gymnastics_Championships" TargetMode="External"/><Relationship Id="rId65" Type="http://schemas.openxmlformats.org/officeDocument/2006/relationships/hyperlink" Target="https://olympics.com/en/news/2023-world-artistic-gymnastics-champs-all-results-scores-complete-list" TargetMode="External"/><Relationship Id="rId81" Type="http://schemas.openxmlformats.org/officeDocument/2006/relationships/hyperlink" Target="https://olympics.com/en/news/2023-world-artistic-gymnastics-champs-all-results-scores-complete-list" TargetMode="External"/><Relationship Id="rId86" Type="http://schemas.openxmlformats.org/officeDocument/2006/relationships/hyperlink" Target="https://en.wikipedia.org/wiki/2017_World_Artistic_Gymnastics_Championships" TargetMode="External"/><Relationship Id="rId13" Type="http://schemas.openxmlformats.org/officeDocument/2006/relationships/hyperlink" Target="https://en.wikipedia.org/wiki/2010_World_Artistic_Gymnastics_Championships" TargetMode="External"/><Relationship Id="rId18" Type="http://schemas.openxmlformats.org/officeDocument/2006/relationships/hyperlink" Target="https://www.nbcsports.com/olympics/news/gymnastics-world-championships-results" TargetMode="External"/><Relationship Id="rId39" Type="http://schemas.openxmlformats.org/officeDocument/2006/relationships/hyperlink" Target="https://olympics.com/en/olympic-games/rio-2016/results/gymnastics-artistic" TargetMode="External"/><Relationship Id="rId109" Type="http://schemas.openxmlformats.org/officeDocument/2006/relationships/hyperlink" Target="https://en.wikipedia.org/wiki/2010_World_Artistic_Gymnastics_Championships" TargetMode="External"/><Relationship Id="rId34" Type="http://schemas.openxmlformats.org/officeDocument/2006/relationships/hyperlink" Target="https://www.nbcsports.com/olympics/news/gymnastics-world-championships-results" TargetMode="External"/><Relationship Id="rId50" Type="http://schemas.openxmlformats.org/officeDocument/2006/relationships/hyperlink" Target="https://www.nbcsports.com/olympics/news/gymnastics-world-championships-results" TargetMode="External"/><Relationship Id="rId55" Type="http://schemas.openxmlformats.org/officeDocument/2006/relationships/hyperlink" Target="https://olympics.com/en/olympic-games/rio-2016/results/gymnastics-artistic" TargetMode="External"/><Relationship Id="rId76" Type="http://schemas.openxmlformats.org/officeDocument/2006/relationships/hyperlink" Target="https://en.wikipedia.org/wiki/2011_World_Artistic_Gymnastics_Championships" TargetMode="External"/><Relationship Id="rId97" Type="http://schemas.openxmlformats.org/officeDocument/2006/relationships/hyperlink" Target="https://olympics.com/en/news/2023-world-artistic-gymnastics-champs-all-results-scores-complete-list" TargetMode="External"/><Relationship Id="rId104" Type="http://schemas.openxmlformats.org/officeDocument/2006/relationships/hyperlink" Target="https://en.wikipedia.org/wiki/2015_World_Artistic_Gymnastics_Championships" TargetMode="External"/><Relationship Id="rId120" Type="http://schemas.openxmlformats.org/officeDocument/2006/relationships/hyperlink" Target="https://en.wikipedia.org/wiki/2015_World_Artistic_Gymnastics_Championships" TargetMode="External"/><Relationship Id="rId125" Type="http://schemas.openxmlformats.org/officeDocument/2006/relationships/hyperlink" Target="https://en.wikipedia.org/wiki/2010_World_Artistic_Gymnastics_Championships" TargetMode="External"/><Relationship Id="rId7" Type="http://schemas.openxmlformats.org/officeDocument/2006/relationships/hyperlink" Target="https://olympics.com/en/olympic-games/rio-2016/results/gymnastics-artistic" TargetMode="External"/><Relationship Id="rId71" Type="http://schemas.openxmlformats.org/officeDocument/2006/relationships/hyperlink" Target="https://olympics.com/en/olympic-games/rio-2016/results/gymnastics-artistic" TargetMode="External"/><Relationship Id="rId92" Type="http://schemas.openxmlformats.org/officeDocument/2006/relationships/hyperlink" Target="https://en.wikipedia.org/wiki/2011_World_Artistic_Gymnastics_Championships" TargetMode="External"/><Relationship Id="rId2" Type="http://schemas.openxmlformats.org/officeDocument/2006/relationships/hyperlink" Target="https://www.nbcsports.com/olympics/news/gymnastics-world-championships-results" TargetMode="External"/><Relationship Id="rId29" Type="http://schemas.openxmlformats.org/officeDocument/2006/relationships/hyperlink" Target="https://en.wikipedia.org/wiki/2010_World_Artistic_Gymnastics_Championships" TargetMode="External"/><Relationship Id="rId24" Type="http://schemas.openxmlformats.org/officeDocument/2006/relationships/hyperlink" Target="https://en.wikipedia.org/wiki/2015_World_Artistic_Gymnastics_Championships" TargetMode="External"/><Relationship Id="rId40" Type="http://schemas.openxmlformats.org/officeDocument/2006/relationships/hyperlink" Target="https://en.wikipedia.org/wiki/2015_World_Artistic_Gymnastics_Championships" TargetMode="External"/><Relationship Id="rId45" Type="http://schemas.openxmlformats.org/officeDocument/2006/relationships/hyperlink" Target="https://en.wikipedia.org/wiki/2010_World_Artistic_Gymnastics_Championships" TargetMode="External"/><Relationship Id="rId66" Type="http://schemas.openxmlformats.org/officeDocument/2006/relationships/hyperlink" Target="https://www.nbcsports.com/olympics/news/gymnastics-world-championships-results" TargetMode="External"/><Relationship Id="rId87" Type="http://schemas.openxmlformats.org/officeDocument/2006/relationships/hyperlink" Target="https://olympics.com/en/olympic-games/rio-2016/results/gymnastics-artistic" TargetMode="External"/><Relationship Id="rId110" Type="http://schemas.openxmlformats.org/officeDocument/2006/relationships/hyperlink" Target="https://en.wikipedia.org/wiki/2009_World_Artistic_Gymnastics_Championships" TargetMode="External"/><Relationship Id="rId115" Type="http://schemas.openxmlformats.org/officeDocument/2006/relationships/hyperlink" Target="https://olympics.com/en/olympic-games/tokyo-2020/results/artistic-gymnastics/men-s-team" TargetMode="External"/><Relationship Id="rId61" Type="http://schemas.openxmlformats.org/officeDocument/2006/relationships/hyperlink" Target="https://en.wikipedia.org/wiki/2010_World_Artistic_Gymnastics_Championships" TargetMode="External"/><Relationship Id="rId82" Type="http://schemas.openxmlformats.org/officeDocument/2006/relationships/hyperlink" Target="https://www.nbcsports.com/olympics/news/gymnastics-world-championships-results" TargetMode="External"/><Relationship Id="rId19" Type="http://schemas.openxmlformats.org/officeDocument/2006/relationships/hyperlink" Target="https://olympics.com/en/olympic-games/tokyo-2020/results/artistic-gymnastics/men-s-team" TargetMode="External"/><Relationship Id="rId14" Type="http://schemas.openxmlformats.org/officeDocument/2006/relationships/hyperlink" Target="https://en.wikipedia.org/wiki/2009_World_Artistic_Gymnastics_Championships" TargetMode="External"/><Relationship Id="rId30" Type="http://schemas.openxmlformats.org/officeDocument/2006/relationships/hyperlink" Target="https://en.wikipedia.org/wiki/2009_World_Artistic_Gymnastics_Championships" TargetMode="External"/><Relationship Id="rId35" Type="http://schemas.openxmlformats.org/officeDocument/2006/relationships/hyperlink" Target="https://olympics.com/en/olympic-games/tokyo-2020/results/artistic-gymnastics/men-s-team" TargetMode="External"/><Relationship Id="rId56" Type="http://schemas.openxmlformats.org/officeDocument/2006/relationships/hyperlink" Target="https://en.wikipedia.org/wiki/2015_World_Artistic_Gymnastics_Championships" TargetMode="External"/><Relationship Id="rId77" Type="http://schemas.openxmlformats.org/officeDocument/2006/relationships/hyperlink" Target="https://en.wikipedia.org/wiki/2010_World_Artistic_Gymnastics_Championships" TargetMode="External"/><Relationship Id="rId100" Type="http://schemas.openxmlformats.org/officeDocument/2006/relationships/hyperlink" Target="https://www.nbcsports.com/olympics/news/2019-world-gymnastics-championships-results" TargetMode="External"/><Relationship Id="rId105" Type="http://schemas.openxmlformats.org/officeDocument/2006/relationships/hyperlink" Target="https://en.wikipedia.org/wiki/2014_World_Artistic_Gymnastics_Championships" TargetMode="External"/><Relationship Id="rId126" Type="http://schemas.openxmlformats.org/officeDocument/2006/relationships/hyperlink" Target="https://en.wikipedia.org/wiki/2009_World_Artistic_Gymnastics_Championships" TargetMode="External"/><Relationship Id="rId8" Type="http://schemas.openxmlformats.org/officeDocument/2006/relationships/hyperlink" Target="https://en.wikipedia.org/wiki/2015_World_Artistic_Gymnastics_Championships" TargetMode="External"/><Relationship Id="rId51" Type="http://schemas.openxmlformats.org/officeDocument/2006/relationships/hyperlink" Target="https://olympics.com/en/olympic-games/tokyo-2020/results/artistic-gymnastics/men-s-team" TargetMode="External"/><Relationship Id="rId72" Type="http://schemas.openxmlformats.org/officeDocument/2006/relationships/hyperlink" Target="https://en.wikipedia.org/wiki/2015_World_Artistic_Gymnastics_Championships" TargetMode="External"/><Relationship Id="rId93" Type="http://schemas.openxmlformats.org/officeDocument/2006/relationships/hyperlink" Target="https://en.wikipedia.org/wiki/2010_World_Artistic_Gymnastics_Championships" TargetMode="External"/><Relationship Id="rId98" Type="http://schemas.openxmlformats.org/officeDocument/2006/relationships/hyperlink" Target="https://www.nbcsports.com/olympics/news/gymnastics-world-championships-results" TargetMode="External"/><Relationship Id="rId121" Type="http://schemas.openxmlformats.org/officeDocument/2006/relationships/hyperlink" Target="https://en.wikipedia.org/wiki/2014_World_Artistic_Gymnastics_Championships" TargetMode="External"/><Relationship Id="rId3" Type="http://schemas.openxmlformats.org/officeDocument/2006/relationships/hyperlink" Target="https://olympics.com/en/olympic-games/tokyo-2020/results/artistic-gymnastics/men-s-team" TargetMode="External"/><Relationship Id="rId25" Type="http://schemas.openxmlformats.org/officeDocument/2006/relationships/hyperlink" Target="https://en.wikipedia.org/wiki/2014_World_Artistic_Gymnastics_Championships" TargetMode="External"/><Relationship Id="rId46" Type="http://schemas.openxmlformats.org/officeDocument/2006/relationships/hyperlink" Target="https://en.wikipedia.org/wiki/2009_World_Artistic_Gymnastics_Championships" TargetMode="External"/><Relationship Id="rId67" Type="http://schemas.openxmlformats.org/officeDocument/2006/relationships/hyperlink" Target="https://olympics.com/en/olympic-games/tokyo-2020/results/artistic-gymnastics/men-s-team" TargetMode="External"/><Relationship Id="rId116" Type="http://schemas.openxmlformats.org/officeDocument/2006/relationships/hyperlink" Target="https://www.nbcsports.com/olympics/news/2019-world-gymnastics-championships-results" TargetMode="External"/><Relationship Id="rId20" Type="http://schemas.openxmlformats.org/officeDocument/2006/relationships/hyperlink" Target="https://www.nbcsports.com/olympics/news/2019-world-gymnastics-championships-results" TargetMode="External"/><Relationship Id="rId41" Type="http://schemas.openxmlformats.org/officeDocument/2006/relationships/hyperlink" Target="https://en.wikipedia.org/wiki/2014_World_Artistic_Gymnastics_Championships" TargetMode="External"/><Relationship Id="rId62" Type="http://schemas.openxmlformats.org/officeDocument/2006/relationships/hyperlink" Target="https://en.wikipedia.org/wiki/2009_World_Artistic_Gymnastics_Championships" TargetMode="External"/><Relationship Id="rId83" Type="http://schemas.openxmlformats.org/officeDocument/2006/relationships/hyperlink" Target="https://olympics.com/en/olympic-games/tokyo-2020/results/artistic-gymnastics/men-s-team" TargetMode="External"/><Relationship Id="rId88" Type="http://schemas.openxmlformats.org/officeDocument/2006/relationships/hyperlink" Target="https://en.wikipedia.org/wiki/2015_World_Artistic_Gymnastics_Championships" TargetMode="External"/><Relationship Id="rId111" Type="http://schemas.openxmlformats.org/officeDocument/2006/relationships/hyperlink" Target="https://en.wikipedia.org/wiki/2007_World_Artistic_Gymnastics_Championships" TargetMode="External"/><Relationship Id="rId15" Type="http://schemas.openxmlformats.org/officeDocument/2006/relationships/hyperlink" Target="https://en.wikipedia.org/wiki/2007_World_Artistic_Gymnastics_Championships" TargetMode="External"/><Relationship Id="rId36" Type="http://schemas.openxmlformats.org/officeDocument/2006/relationships/hyperlink" Target="https://www.nbcsports.com/olympics/news/2019-world-gymnastics-championships-results" TargetMode="External"/><Relationship Id="rId57" Type="http://schemas.openxmlformats.org/officeDocument/2006/relationships/hyperlink" Target="https://en.wikipedia.org/wiki/2014_World_Artistic_Gymnastics_Championships" TargetMode="External"/><Relationship Id="rId106" Type="http://schemas.openxmlformats.org/officeDocument/2006/relationships/hyperlink" Target="https://en.wikipedia.org/wiki/2013_World_Artistic_Gymnastics_Championships" TargetMode="External"/><Relationship Id="rId127" Type="http://schemas.openxmlformats.org/officeDocument/2006/relationships/hyperlink" Target="https://en.wikipedia.org/wiki/2007_World_Artistic_Gymnastics_Championships" TargetMode="External"/><Relationship Id="rId10" Type="http://schemas.openxmlformats.org/officeDocument/2006/relationships/hyperlink" Target="https://en.wikipedia.org/wiki/2013_World_Artistic_Gymnastics_Championships" TargetMode="External"/><Relationship Id="rId31" Type="http://schemas.openxmlformats.org/officeDocument/2006/relationships/hyperlink" Target="https://en.wikipedia.org/wiki/2007_World_Artistic_Gymnastics_Championships" TargetMode="External"/><Relationship Id="rId52" Type="http://schemas.openxmlformats.org/officeDocument/2006/relationships/hyperlink" Target="https://www.nbcsports.com/olympics/news/2019-world-gymnastics-championships-results" TargetMode="External"/><Relationship Id="rId73" Type="http://schemas.openxmlformats.org/officeDocument/2006/relationships/hyperlink" Target="https://en.wikipedia.org/wiki/2014_World_Artistic_Gymnastics_Championships" TargetMode="External"/><Relationship Id="rId78" Type="http://schemas.openxmlformats.org/officeDocument/2006/relationships/hyperlink" Target="https://en.wikipedia.org/wiki/2009_World_Artistic_Gymnastics_Championships" TargetMode="External"/><Relationship Id="rId94" Type="http://schemas.openxmlformats.org/officeDocument/2006/relationships/hyperlink" Target="https://en.wikipedia.org/wiki/2009_World_Artistic_Gymnastics_Championships" TargetMode="External"/><Relationship Id="rId99" Type="http://schemas.openxmlformats.org/officeDocument/2006/relationships/hyperlink" Target="https://olympics.com/en/olympic-games/tokyo-2020/results/artistic-gymnastics/men-s-team" TargetMode="External"/><Relationship Id="rId101" Type="http://schemas.openxmlformats.org/officeDocument/2006/relationships/hyperlink" Target="https://www.nbcsports.com/olympics/news/2018-gymnastics-world-championships-results" TargetMode="External"/><Relationship Id="rId122" Type="http://schemas.openxmlformats.org/officeDocument/2006/relationships/hyperlink" Target="https://en.wikipedia.org/wiki/2013_World_Artistic_Gymnastics_Championships" TargetMode="External"/><Relationship Id="rId4" Type="http://schemas.openxmlformats.org/officeDocument/2006/relationships/hyperlink" Target="https://www.nbcsports.com/olympics/news/2019-world-gymnastics-championships-results" TargetMode="External"/><Relationship Id="rId9" Type="http://schemas.openxmlformats.org/officeDocument/2006/relationships/hyperlink" Target="https://en.wikipedia.org/wiki/2014_World_Artistic_Gymnastics_Championsh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G8" sqref="G8"/>
    </sheetView>
  </sheetViews>
  <sheetFormatPr defaultColWidth="11.19921875" defaultRowHeight="15" customHeight="1" x14ac:dyDescent="0.3"/>
  <cols>
    <col min="1" max="26" width="10.59765625" customWidth="1"/>
  </cols>
  <sheetData>
    <row r="1" spans="1:20" ht="15.75" customHeight="1" x14ac:dyDescent="0.3">
      <c r="A1" s="1" t="s">
        <v>0</v>
      </c>
      <c r="M1" s="2" t="s">
        <v>1</v>
      </c>
    </row>
    <row r="2" spans="1:20" ht="15.75" customHeight="1" x14ac:dyDescent="0.3">
      <c r="A2" s="1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 ht="15.75" customHeigh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M3" s="2" t="s">
        <v>16</v>
      </c>
      <c r="N3" s="2">
        <f t="shared" ref="N3:P3" si="0">AVERAGE(B4:B5)</f>
        <v>167.1465</v>
      </c>
      <c r="O3" s="2">
        <f t="shared" si="0"/>
        <v>164.44650000000001</v>
      </c>
      <c r="P3" s="2">
        <f t="shared" si="0"/>
        <v>162.31349999999998</v>
      </c>
    </row>
    <row r="4" spans="1:20" ht="15.75" customHeight="1" x14ac:dyDescent="0.3">
      <c r="A4" s="1" t="s">
        <v>17</v>
      </c>
      <c r="B4" s="1">
        <v>167.72900000000001</v>
      </c>
      <c r="C4" s="1">
        <v>165.53</v>
      </c>
      <c r="D4" s="1">
        <v>164.06399999999999</v>
      </c>
      <c r="E4" s="3" t="s">
        <v>18</v>
      </c>
      <c r="M4" s="2" t="s">
        <v>19</v>
      </c>
      <c r="N4" s="2">
        <f t="shared" ref="N4:P4" si="1">AVERAGE(B6:B11)</f>
        <v>169.27047949474982</v>
      </c>
      <c r="O4" s="2">
        <f t="shared" si="1"/>
        <v>163.33712702345846</v>
      </c>
      <c r="P4" s="2">
        <f t="shared" si="1"/>
        <v>161.95260119538889</v>
      </c>
      <c r="Q4" s="2">
        <f t="shared" ref="Q4:S4" si="2">N3/N4</f>
        <v>0.98745215644754114</v>
      </c>
      <c r="R4" s="2">
        <f t="shared" si="2"/>
        <v>1.006791921694461</v>
      </c>
      <c r="S4" s="2">
        <f t="shared" si="2"/>
        <v>1.0022284224022786</v>
      </c>
      <c r="T4" s="2">
        <f t="shared" ref="T4:T7" si="3">GEOMEAN(Q4:S4)</f>
        <v>0.99878995639613355</v>
      </c>
    </row>
    <row r="5" spans="1:20" ht="15.75" customHeight="1" x14ac:dyDescent="0.3">
      <c r="A5" s="1" t="s">
        <v>20</v>
      </c>
      <c r="B5" s="1">
        <v>166.56399999999999</v>
      </c>
      <c r="C5" s="1">
        <v>163.363</v>
      </c>
      <c r="D5" s="1">
        <v>160.56299999999999</v>
      </c>
      <c r="E5" s="3" t="s">
        <v>21</v>
      </c>
      <c r="M5" s="2" t="s">
        <v>22</v>
      </c>
      <c r="N5" s="2">
        <f t="shared" ref="N5:P5" si="4">AVERAGE(B12:B16)</f>
        <v>171.43958048536425</v>
      </c>
      <c r="O5" s="2">
        <f t="shared" si="4"/>
        <v>165.13027456742586</v>
      </c>
      <c r="P5" s="2">
        <f t="shared" si="4"/>
        <v>163.37224222507939</v>
      </c>
      <c r="Q5" s="2">
        <f t="shared" ref="Q5:S5" si="5">N3/N5</f>
        <v>0.97495863864569632</v>
      </c>
      <c r="R5" s="2">
        <f t="shared" si="5"/>
        <v>0.99585918106648186</v>
      </c>
      <c r="S5" s="2">
        <f t="shared" si="5"/>
        <v>0.99351944852650809</v>
      </c>
      <c r="T5" s="2">
        <f t="shared" si="3"/>
        <v>0.98806799506351095</v>
      </c>
    </row>
    <row r="6" spans="1:20" ht="15.75" customHeight="1" x14ac:dyDescent="0.3">
      <c r="A6" s="1" t="s">
        <v>23</v>
      </c>
      <c r="B6" s="1">
        <f>169.528*P47</f>
        <v>167.65421041498197</v>
      </c>
      <c r="C6" s="1">
        <f>166.096*P47</f>
        <v>164.26014424217149</v>
      </c>
      <c r="D6" s="1">
        <f>164.096*P47</f>
        <v>162.28225020207213</v>
      </c>
      <c r="E6" s="3" t="s">
        <v>24</v>
      </c>
      <c r="M6" s="2" t="s">
        <v>25</v>
      </c>
      <c r="N6" s="2">
        <f t="shared" ref="N6:P6" si="6">AVERAGE(B17:B20)</f>
        <v>170.18421468586936</v>
      </c>
      <c r="O6" s="2">
        <f t="shared" si="6"/>
        <v>167.22908763796815</v>
      </c>
      <c r="P6" s="2">
        <f t="shared" si="6"/>
        <v>165.63599315498365</v>
      </c>
      <c r="Q6" s="2">
        <f t="shared" ref="Q6:S6" si="7">N3/N6</f>
        <v>0.98215043215684572</v>
      </c>
      <c r="R6" s="2">
        <f t="shared" si="7"/>
        <v>0.98336062417566905</v>
      </c>
      <c r="S6" s="2">
        <f t="shared" si="7"/>
        <v>0.97994099536158874</v>
      </c>
      <c r="T6" s="2">
        <f t="shared" si="3"/>
        <v>0.98181632944527075</v>
      </c>
    </row>
    <row r="7" spans="1:20" ht="15.75" customHeight="1" x14ac:dyDescent="0.3">
      <c r="A7" s="1" t="s">
        <v>26</v>
      </c>
      <c r="B7" s="6">
        <f>172.33*P47</f>
        <v>170.42523996516121</v>
      </c>
      <c r="C7" s="6">
        <f>166.529*P47</f>
        <v>164.68835830185299</v>
      </c>
      <c r="D7" s="6">
        <f>164.796*P47</f>
        <v>162.97451311610689</v>
      </c>
      <c r="E7" s="8" t="s">
        <v>27</v>
      </c>
      <c r="M7" s="2" t="s">
        <v>28</v>
      </c>
      <c r="N7" s="2">
        <f t="shared" ref="N7:P7" si="8">AVERAGE(B21:B23)</f>
        <v>168.63370456897823</v>
      </c>
      <c r="O7" s="2">
        <f t="shared" si="8"/>
        <v>167.36629553823926</v>
      </c>
      <c r="P7" s="2">
        <f t="shared" si="8"/>
        <v>163.00246204916809</v>
      </c>
      <c r="Q7" s="2">
        <f t="shared" ref="Q7:S7" si="9">N3/N7</f>
        <v>0.99118085810437795</v>
      </c>
      <c r="R7" s="2">
        <f t="shared" si="9"/>
        <v>0.98255445919472995</v>
      </c>
      <c r="S7" s="2">
        <f t="shared" si="9"/>
        <v>0.99577330280471288</v>
      </c>
      <c r="T7" s="2">
        <f t="shared" si="3"/>
        <v>0.98982101902230901</v>
      </c>
    </row>
    <row r="8" spans="1:20" ht="15.75" customHeight="1" x14ac:dyDescent="0.3">
      <c r="A8" s="1" t="s">
        <v>29</v>
      </c>
      <c r="B8" s="7"/>
      <c r="C8" s="7"/>
      <c r="D8" s="7"/>
      <c r="E8" s="7"/>
      <c r="M8" s="2" t="s">
        <v>30</v>
      </c>
    </row>
    <row r="9" spans="1:20" ht="15.75" customHeight="1" x14ac:dyDescent="0.3">
      <c r="A9" s="1" t="s">
        <v>31</v>
      </c>
      <c r="B9" s="1">
        <f>171.629*P47</f>
        <v>169.73198810410636</v>
      </c>
      <c r="C9" s="1">
        <f>162.863*P47</f>
        <v>161.06287852635089</v>
      </c>
      <c r="D9" s="1">
        <f>162.396*P47</f>
        <v>160.60104026798766</v>
      </c>
      <c r="E9" s="3" t="s">
        <v>32</v>
      </c>
      <c r="M9" s="2" t="s">
        <v>3</v>
      </c>
      <c r="N9" s="2" t="s">
        <v>4</v>
      </c>
      <c r="O9" s="2" t="s">
        <v>5</v>
      </c>
      <c r="P9" s="2" t="s">
        <v>6</v>
      </c>
      <c r="Q9" s="2" t="s">
        <v>7</v>
      </c>
      <c r="R9" s="2" t="s">
        <v>8</v>
      </c>
      <c r="S9" s="2" t="s">
        <v>9</v>
      </c>
      <c r="T9" s="2" t="s">
        <v>10</v>
      </c>
    </row>
    <row r="10" spans="1:20" ht="15.75" customHeight="1" x14ac:dyDescent="0.3">
      <c r="A10" s="1" t="s">
        <v>33</v>
      </c>
      <c r="B10" s="6" t="s">
        <v>34</v>
      </c>
      <c r="C10" s="6" t="s">
        <v>34</v>
      </c>
      <c r="D10" s="6" t="s">
        <v>34</v>
      </c>
      <c r="E10" s="8" t="s">
        <v>35</v>
      </c>
      <c r="M10" s="2" t="s">
        <v>16</v>
      </c>
      <c r="N10" s="2">
        <f t="shared" ref="N10:P10" si="10">AVERAGE(B27:B28)</f>
        <v>57.649000000000001</v>
      </c>
      <c r="O10" s="2">
        <f t="shared" si="10"/>
        <v>56.082499999999996</v>
      </c>
      <c r="P10" s="2">
        <f t="shared" si="10"/>
        <v>55.765500000000003</v>
      </c>
    </row>
    <row r="11" spans="1:20" ht="15.75" customHeight="1" x14ac:dyDescent="0.3">
      <c r="A11" s="1" t="s">
        <v>36</v>
      </c>
      <c r="B11" s="7"/>
      <c r="C11" s="7"/>
      <c r="D11" s="7"/>
      <c r="E11" s="7"/>
      <c r="M11" s="2" t="s">
        <v>19</v>
      </c>
      <c r="N11" s="2">
        <f t="shared" ref="N11:P11" si="11">AVERAGE(B29:B34)</f>
        <v>56.766795134626641</v>
      </c>
      <c r="O11" s="2">
        <f t="shared" si="11"/>
        <v>55.65966894568102</v>
      </c>
      <c r="P11" s="2">
        <f t="shared" si="11"/>
        <v>55.412926664178627</v>
      </c>
      <c r="Q11" s="2">
        <f t="shared" ref="Q11:S11" si="12">N10/N11</f>
        <v>1.0155408608726484</v>
      </c>
      <c r="R11" s="2">
        <f t="shared" si="12"/>
        <v>1.0075967224083138</v>
      </c>
      <c r="S11" s="2">
        <f t="shared" si="12"/>
        <v>1.0063626550165468</v>
      </c>
      <c r="T11" s="2">
        <f t="shared" ref="T11:T14" si="13">GEOMEAN(Q11:S11)</f>
        <v>1.0098252370680163</v>
      </c>
    </row>
    <row r="12" spans="1:20" ht="15.75" customHeight="1" x14ac:dyDescent="0.3">
      <c r="A12" s="1" t="s">
        <v>37</v>
      </c>
      <c r="B12" s="1">
        <f>184.897*R47</f>
        <v>174.32333178557363</v>
      </c>
      <c r="C12" s="1">
        <f>176.688*R47</f>
        <v>166.58377824696686</v>
      </c>
      <c r="D12" s="1">
        <f>176.003*R47</f>
        <v>165.93795120665189</v>
      </c>
      <c r="E12" s="3" t="s">
        <v>38</v>
      </c>
      <c r="M12" s="2" t="s">
        <v>22</v>
      </c>
      <c r="N12" s="2">
        <f t="shared" ref="N12:P12" si="14">AVERAGE(B35:B39)</f>
        <v>57.286272695734596</v>
      </c>
      <c r="O12" s="2">
        <f t="shared" si="14"/>
        <v>56.217829639622259</v>
      </c>
      <c r="P12" s="2">
        <f t="shared" si="14"/>
        <v>55.357276893567523</v>
      </c>
      <c r="Q12" s="2">
        <f t="shared" ref="Q12:S12" si="15">N10/N12</f>
        <v>1.0063318363579346</v>
      </c>
      <c r="R12" s="2">
        <f t="shared" si="15"/>
        <v>0.99759276299903821</v>
      </c>
      <c r="S12" s="2">
        <f t="shared" si="15"/>
        <v>1.0073743350348925</v>
      </c>
      <c r="T12" s="2">
        <f t="shared" si="13"/>
        <v>1.0037567098154849</v>
      </c>
    </row>
    <row r="13" spans="1:20" ht="15.75" customHeight="1" x14ac:dyDescent="0.3">
      <c r="A13" s="1" t="s">
        <v>39</v>
      </c>
      <c r="B13" s="1">
        <f>181.338*R47</f>
        <v>170.96785961552837</v>
      </c>
      <c r="C13" s="1">
        <f>176.164*R47</f>
        <v>166.08974413145583</v>
      </c>
      <c r="D13" s="1">
        <f>172.38*R47</f>
        <v>162.52213899196408</v>
      </c>
      <c r="E13" s="3" t="s">
        <v>40</v>
      </c>
      <c r="M13" s="2" t="s">
        <v>25</v>
      </c>
      <c r="N13" s="2">
        <f t="shared" ref="N13:P13" si="16">AVERAGE(B40:B43)</f>
        <v>57.007890389548116</v>
      </c>
      <c r="O13" s="2">
        <f t="shared" si="16"/>
        <v>56.681685328746525</v>
      </c>
      <c r="P13" s="2">
        <f t="shared" si="16"/>
        <v>55.546131374357287</v>
      </c>
      <c r="Q13" s="2">
        <f t="shared" ref="Q13:S13" si="17">N10/N13</f>
        <v>1.0112459802681881</v>
      </c>
      <c r="R13" s="2">
        <f t="shared" si="17"/>
        <v>0.98942894295977035</v>
      </c>
      <c r="S13" s="2">
        <f t="shared" si="17"/>
        <v>1.00394930520299</v>
      </c>
      <c r="T13" s="2">
        <f t="shared" si="13"/>
        <v>1.0015002622572273</v>
      </c>
    </row>
    <row r="14" spans="1:20" ht="15.75" customHeight="1" x14ac:dyDescent="0.3">
      <c r="A14" s="1" t="s">
        <v>41</v>
      </c>
      <c r="B14" s="1">
        <f>179.28*R47</f>
        <v>169.02755005499083</v>
      </c>
      <c r="C14" s="1">
        <f>172.587*R47</f>
        <v>162.71730132385485</v>
      </c>
      <c r="D14" s="1">
        <f>171.462*R47</f>
        <v>161.65663647662225</v>
      </c>
      <c r="E14" s="3" t="s">
        <v>42</v>
      </c>
      <c r="M14" s="2" t="s">
        <v>28</v>
      </c>
      <c r="N14" s="2">
        <f t="shared" ref="N14:P14" si="18">AVERAGE(B44:B46)</f>
        <v>56.532514191463491</v>
      </c>
      <c r="O14" s="2">
        <f t="shared" si="18"/>
        <v>55.887425762644277</v>
      </c>
      <c r="P14" s="2">
        <f t="shared" si="18"/>
        <v>55.690104596181918</v>
      </c>
      <c r="Q14" s="2">
        <f t="shared" ref="Q14:S14" si="19">N10/N14</f>
        <v>1.0197494455094498</v>
      </c>
      <c r="R14" s="2">
        <f t="shared" si="19"/>
        <v>1.0034904852870519</v>
      </c>
      <c r="S14" s="2">
        <f t="shared" si="19"/>
        <v>1.0013538384308089</v>
      </c>
      <c r="T14" s="2">
        <f t="shared" si="13"/>
        <v>1.008164578511459</v>
      </c>
    </row>
    <row r="15" spans="1:20" ht="15.75" customHeight="1" x14ac:dyDescent="0.3">
      <c r="A15" s="1" t="s">
        <v>43</v>
      </c>
      <c r="B15" s="6" t="s">
        <v>44</v>
      </c>
      <c r="C15" s="6" t="s">
        <v>44</v>
      </c>
      <c r="D15" s="6" t="s">
        <v>44</v>
      </c>
      <c r="E15" s="8" t="s">
        <v>45</v>
      </c>
      <c r="M15" s="2" t="s">
        <v>46</v>
      </c>
    </row>
    <row r="16" spans="1:20" ht="15.75" customHeight="1" x14ac:dyDescent="0.3">
      <c r="A16" s="1" t="s">
        <v>47</v>
      </c>
      <c r="B16" s="7"/>
      <c r="C16" s="7"/>
      <c r="D16" s="7"/>
      <c r="E16" s="7"/>
      <c r="M16" s="2" t="s">
        <v>3</v>
      </c>
      <c r="N16" s="2" t="s">
        <v>4</v>
      </c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spans="1:20" ht="15.75" customHeight="1" x14ac:dyDescent="0.3">
      <c r="A17" s="1" t="s">
        <v>48</v>
      </c>
      <c r="B17" s="1">
        <f>183.596*T47</f>
        <v>174.09867541548837</v>
      </c>
      <c r="C17" s="1">
        <f>178.53*T47</f>
        <v>169.29473693286968</v>
      </c>
      <c r="D17" s="1">
        <f>176.414*T47</f>
        <v>167.28819650072967</v>
      </c>
      <c r="E17" s="3" t="s">
        <v>49</v>
      </c>
      <c r="M17" s="4" t="s">
        <v>16</v>
      </c>
      <c r="N17" s="4">
        <f t="shared" ref="N17:P17" si="20">AVERAGE(B50:B51)</f>
        <v>14.416499999999999</v>
      </c>
      <c r="O17" s="4">
        <f t="shared" si="20"/>
        <v>14.166499999999999</v>
      </c>
      <c r="P17" s="4">
        <f t="shared" si="20"/>
        <v>13.849499999999999</v>
      </c>
    </row>
    <row r="18" spans="1:20" ht="15.75" customHeight="1" x14ac:dyDescent="0.3">
      <c r="A18" s="1" t="s">
        <v>50</v>
      </c>
      <c r="B18" s="1">
        <f>179.411*T47</f>
        <v>170.13016326591094</v>
      </c>
      <c r="C18" s="1">
        <f>175.329*T47</f>
        <v>166.25932298046888</v>
      </c>
      <c r="D18" s="1">
        <f>172.82*T47</f>
        <v>163.88011223177358</v>
      </c>
      <c r="E18" s="3" t="s">
        <v>51</v>
      </c>
      <c r="M18" s="4" t="s">
        <v>19</v>
      </c>
      <c r="N18" s="4">
        <f t="shared" ref="N18:P18" si="21">AVERAGE(B52:B57)</f>
        <v>14.569909209636908</v>
      </c>
      <c r="O18" s="4">
        <f t="shared" si="21"/>
        <v>14.145898174790609</v>
      </c>
      <c r="P18" s="4">
        <f t="shared" si="21"/>
        <v>14.038350186360207</v>
      </c>
      <c r="Q18" s="2">
        <f t="shared" ref="Q18:S18" si="22">N17/N18</f>
        <v>0.98947081910878076</v>
      </c>
      <c r="R18" s="2">
        <f t="shared" si="22"/>
        <v>1.0014563815570301</v>
      </c>
      <c r="S18" s="2">
        <f t="shared" si="22"/>
        <v>0.98654755125401439</v>
      </c>
      <c r="T18" s="2">
        <f t="shared" ref="T18:T21" si="23">GEOMEAN(Q18:S18)</f>
        <v>0.99247067659314436</v>
      </c>
    </row>
    <row r="19" spans="1:20" ht="15.75" customHeight="1" x14ac:dyDescent="0.3">
      <c r="A19" s="1">
        <v>2010</v>
      </c>
      <c r="B19" s="1">
        <f>175.397*T47</f>
        <v>166.3238053762087</v>
      </c>
      <c r="C19" s="1">
        <f>175.196*T47</f>
        <v>166.13320300056591</v>
      </c>
      <c r="D19" s="1">
        <f>174.781*T47</f>
        <v>165.73967073244773</v>
      </c>
      <c r="E19" s="3" t="s">
        <v>52</v>
      </c>
      <c r="M19" s="4" t="s">
        <v>22</v>
      </c>
      <c r="N19" s="4">
        <f t="shared" ref="N19:P19" si="24">AVERAGE(B58:B62)</f>
        <v>14.636939188510816</v>
      </c>
      <c r="O19" s="4">
        <f t="shared" si="24"/>
        <v>14.149976171981349</v>
      </c>
      <c r="P19" s="4">
        <f t="shared" si="24"/>
        <v>13.969191741353033</v>
      </c>
      <c r="Q19" s="2">
        <f t="shared" ref="Q19:S19" si="25">N17/N19</f>
        <v>0.98493952966041909</v>
      </c>
      <c r="R19" s="2">
        <f t="shared" si="25"/>
        <v>1.0011677636638971</v>
      </c>
      <c r="S19" s="2">
        <f t="shared" si="25"/>
        <v>0.99143173466516965</v>
      </c>
      <c r="T19" s="2">
        <f t="shared" si="23"/>
        <v>0.99249062646441055</v>
      </c>
    </row>
    <row r="20" spans="1:20" ht="15.75" customHeight="1" x14ac:dyDescent="0.3">
      <c r="A20" s="1">
        <v>2009</v>
      </c>
      <c r="B20" s="1" t="s">
        <v>44</v>
      </c>
      <c r="C20" s="1" t="s">
        <v>44</v>
      </c>
      <c r="D20" s="1" t="s">
        <v>44</v>
      </c>
      <c r="E20" s="3" t="s">
        <v>53</v>
      </c>
      <c r="M20" s="4" t="s">
        <v>25</v>
      </c>
      <c r="N20" s="4">
        <f t="shared" ref="N20:P20" si="26">AVERAGE(B63:B66)</f>
        <v>14.275264492171736</v>
      </c>
      <c r="O20" s="4">
        <f t="shared" si="26"/>
        <v>14.124963613866354</v>
      </c>
      <c r="P20" s="4">
        <f t="shared" si="26"/>
        <v>13.97892995292611</v>
      </c>
      <c r="Q20" s="2">
        <f t="shared" ref="Q20:S20" si="27">N17/N20</f>
        <v>1.0098937226631222</v>
      </c>
      <c r="R20" s="2">
        <f t="shared" si="27"/>
        <v>1.0029406366819147</v>
      </c>
      <c r="S20" s="2">
        <f t="shared" si="27"/>
        <v>0.99074106863959077</v>
      </c>
      <c r="T20" s="2">
        <f t="shared" si="23"/>
        <v>1.0011604594789734</v>
      </c>
    </row>
    <row r="21" spans="1:20" ht="15.75" customHeight="1" x14ac:dyDescent="0.3">
      <c r="A21" s="1" t="s">
        <v>54</v>
      </c>
      <c r="B21" s="1">
        <f>188.9*V47</f>
        <v>172.03370005263722</v>
      </c>
      <c r="C21" s="1">
        <f>186.525*V47</f>
        <v>169.87075649718452</v>
      </c>
      <c r="D21" s="1">
        <f>181.525*V47</f>
        <v>165.3171911172841</v>
      </c>
      <c r="E21" s="1" t="s">
        <v>55</v>
      </c>
      <c r="M21" s="4" t="s">
        <v>28</v>
      </c>
      <c r="N21" s="4">
        <f t="shared" ref="N21:P21" si="28">AVERAGE(B67:B69)</f>
        <v>14.199534709656087</v>
      </c>
      <c r="O21" s="4">
        <f t="shared" si="28"/>
        <v>14.04774919699274</v>
      </c>
      <c r="P21" s="4">
        <f t="shared" si="28"/>
        <v>13.9642671650279</v>
      </c>
      <c r="Q21" s="2">
        <f t="shared" ref="Q21:S21" si="29">N17/N21</f>
        <v>1.0152797464691832</v>
      </c>
      <c r="R21" s="2">
        <f t="shared" si="29"/>
        <v>1.0084533686743695</v>
      </c>
      <c r="S21" s="2">
        <f t="shared" si="29"/>
        <v>0.99178136856939236</v>
      </c>
      <c r="T21" s="2">
        <f t="shared" si="23"/>
        <v>1.0051228891104051</v>
      </c>
    </row>
    <row r="22" spans="1:20" ht="15.75" customHeight="1" x14ac:dyDescent="0.3">
      <c r="A22" s="1">
        <v>2007</v>
      </c>
      <c r="B22" s="1">
        <f>184.4*V47</f>
        <v>167.93549121072684</v>
      </c>
      <c r="C22" s="1">
        <f>183.45*V47</f>
        <v>167.07031378854575</v>
      </c>
      <c r="D22" s="1">
        <f>178.1*V47</f>
        <v>162.19799883205232</v>
      </c>
      <c r="E22" s="3" t="s">
        <v>56</v>
      </c>
      <c r="M22" s="2" t="s">
        <v>57</v>
      </c>
    </row>
    <row r="23" spans="1:20" ht="15.75" customHeight="1" x14ac:dyDescent="0.3">
      <c r="A23" s="1">
        <v>2006</v>
      </c>
      <c r="B23" s="1">
        <f>182.2*V47</f>
        <v>165.93192244357064</v>
      </c>
      <c r="C23" s="1">
        <f>181.35*V47</f>
        <v>165.15781632898759</v>
      </c>
      <c r="D23" s="1">
        <f>177.325*V47</f>
        <v>161.49219619816776</v>
      </c>
      <c r="E23" s="3" t="s">
        <v>58</v>
      </c>
      <c r="M23" s="2" t="s">
        <v>3</v>
      </c>
      <c r="N23" s="2" t="s">
        <v>4</v>
      </c>
      <c r="O23" s="2" t="s">
        <v>5</v>
      </c>
      <c r="P23" s="2" t="s">
        <v>6</v>
      </c>
      <c r="Q23" s="2" t="s">
        <v>7</v>
      </c>
      <c r="R23" s="2" t="s">
        <v>8</v>
      </c>
      <c r="S23" s="2" t="s">
        <v>9</v>
      </c>
      <c r="T23" s="2" t="s">
        <v>10</v>
      </c>
    </row>
    <row r="24" spans="1:20" ht="15.75" customHeight="1" x14ac:dyDescent="0.3">
      <c r="A24" s="1" t="s">
        <v>59</v>
      </c>
      <c r="B24" s="2">
        <f t="shared" ref="B24:D24" si="30">AVERAGE(B4:B23)</f>
        <v>169.49120983606321</v>
      </c>
      <c r="C24" s="2">
        <f t="shared" si="30"/>
        <v>165.57723959294825</v>
      </c>
      <c r="D24" s="2">
        <f t="shared" si="30"/>
        <v>163.32263541956144</v>
      </c>
      <c r="M24" s="4" t="s">
        <v>16</v>
      </c>
      <c r="N24" s="4">
        <f t="shared" ref="N24:P24" si="31">AVERAGE(B73:B74)</f>
        <v>15.032999999999999</v>
      </c>
      <c r="O24" s="4">
        <f t="shared" si="31"/>
        <v>14.8995</v>
      </c>
      <c r="P24" s="4">
        <f t="shared" si="31"/>
        <v>14.733000000000001</v>
      </c>
    </row>
    <row r="25" spans="1:20" ht="15.75" customHeight="1" x14ac:dyDescent="0.3">
      <c r="A25" s="1" t="s">
        <v>60</v>
      </c>
      <c r="M25" s="4" t="s">
        <v>19</v>
      </c>
      <c r="N25" s="4">
        <f t="shared" ref="N25:P25" si="32">AVERAGE(B75:B80)</f>
        <v>15.031747468000109</v>
      </c>
      <c r="O25" s="4">
        <f t="shared" si="32"/>
        <v>14.743469411655628</v>
      </c>
      <c r="P25" s="4">
        <f t="shared" si="32"/>
        <v>14.570403683146935</v>
      </c>
      <c r="Q25" s="2">
        <f t="shared" ref="Q25:S25" si="33">N24/N25</f>
        <v>1.0000833257745021</v>
      </c>
      <c r="R25" s="2">
        <f t="shared" si="33"/>
        <v>1.0105830306278534</v>
      </c>
      <c r="S25" s="2">
        <f t="shared" si="33"/>
        <v>1.011159355662955</v>
      </c>
      <c r="T25" s="2">
        <f t="shared" ref="T25:T28" si="34">GEOMEAN(Q25:S25)</f>
        <v>1.007262341851636</v>
      </c>
    </row>
    <row r="26" spans="1:20" ht="15.75" customHeight="1" x14ac:dyDescent="0.3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M26" s="4" t="s">
        <v>22</v>
      </c>
      <c r="N26" s="4">
        <f t="shared" ref="N26:P26" si="35">AVERAGE(B81:B85)</f>
        <v>14.684079848387821</v>
      </c>
      <c r="O26" s="4">
        <f t="shared" si="35"/>
        <v>14.620911364152633</v>
      </c>
      <c r="P26" s="4">
        <f t="shared" si="35"/>
        <v>14.436355680734156</v>
      </c>
      <c r="Q26" s="2">
        <f t="shared" ref="Q26:S26" si="36">N24/N26</f>
        <v>1.0237617988471022</v>
      </c>
      <c r="R26" s="2">
        <f t="shared" si="36"/>
        <v>1.0190541224762779</v>
      </c>
      <c r="S26" s="2">
        <f t="shared" si="36"/>
        <v>1.0205484213485905</v>
      </c>
      <c r="T26" s="2">
        <f t="shared" si="34"/>
        <v>1.0211195595118996</v>
      </c>
    </row>
    <row r="27" spans="1:20" ht="15.75" customHeight="1" x14ac:dyDescent="0.3">
      <c r="A27" s="1" t="s">
        <v>17</v>
      </c>
      <c r="B27" s="1">
        <v>58.399000000000001</v>
      </c>
      <c r="C27" s="1">
        <v>56.765999999999998</v>
      </c>
      <c r="D27" s="1">
        <v>56.332000000000001</v>
      </c>
      <c r="E27" s="3" t="s">
        <v>18</v>
      </c>
      <c r="M27" s="4" t="s">
        <v>25</v>
      </c>
      <c r="N27" s="4">
        <f t="shared" ref="N27:P27" si="37">AVERAGE(B86:B89)</f>
        <v>15.022027531070716</v>
      </c>
      <c r="O27" s="4">
        <f t="shared" si="37"/>
        <v>14.557849108796365</v>
      </c>
      <c r="P27" s="4">
        <f t="shared" si="37"/>
        <v>14.340221023174379</v>
      </c>
      <c r="Q27" s="2">
        <f t="shared" ref="Q27:S27" si="38">N24/N27</f>
        <v>1.0007304252975564</v>
      </c>
      <c r="R27" s="2">
        <f t="shared" si="38"/>
        <v>1.0234685006452771</v>
      </c>
      <c r="S27" s="2">
        <f t="shared" si="38"/>
        <v>1.027390022524121</v>
      </c>
      <c r="T27" s="2">
        <f t="shared" si="34"/>
        <v>1.0171280770492808</v>
      </c>
    </row>
    <row r="28" spans="1:20" ht="15.75" customHeight="1" x14ac:dyDescent="0.3">
      <c r="A28" s="1" t="s">
        <v>20</v>
      </c>
      <c r="B28" s="1">
        <v>56.899000000000001</v>
      </c>
      <c r="C28" s="1">
        <v>55.399000000000001</v>
      </c>
      <c r="D28" s="1">
        <v>55.198999999999998</v>
      </c>
      <c r="E28" s="3" t="s">
        <v>21</v>
      </c>
      <c r="M28" s="4" t="s">
        <v>28</v>
      </c>
      <c r="N28" s="4">
        <f t="shared" ref="N28:P28" si="39">AVERAGE(B90:B92)</f>
        <v>14.958462272972824</v>
      </c>
      <c r="O28" s="4">
        <f t="shared" si="39"/>
        <v>14.897748067907484</v>
      </c>
      <c r="P28" s="4">
        <f t="shared" si="39"/>
        <v>14.745962555244134</v>
      </c>
      <c r="Q28" s="2">
        <f t="shared" ref="Q28:S28" si="40">N24/N28</f>
        <v>1.0049829805809554</v>
      </c>
      <c r="R28" s="2">
        <f t="shared" si="40"/>
        <v>1.0001175971082696</v>
      </c>
      <c r="S28" s="2">
        <f t="shared" si="40"/>
        <v>0.99912094207512259</v>
      </c>
      <c r="T28" s="2">
        <f t="shared" si="34"/>
        <v>1.001403901980261</v>
      </c>
    </row>
    <row r="29" spans="1:20" ht="15.75" customHeight="1" x14ac:dyDescent="0.3">
      <c r="A29" s="1" t="s">
        <v>23</v>
      </c>
      <c r="B29" s="1">
        <f>57.433*P47</f>
        <v>56.798194202513216</v>
      </c>
      <c r="C29" s="1">
        <f>57.298*P47</f>
        <v>56.664686354806513</v>
      </c>
      <c r="D29" s="1">
        <f>57.199*P47</f>
        <v>56.566780599821591</v>
      </c>
      <c r="E29" s="3" t="s">
        <v>24</v>
      </c>
      <c r="M29" s="2" t="s">
        <v>61</v>
      </c>
    </row>
    <row r="30" spans="1:20" ht="15.75" customHeight="1" x14ac:dyDescent="0.3">
      <c r="A30" s="1" t="s">
        <v>26</v>
      </c>
      <c r="B30" s="6">
        <f>58.999*P47</f>
        <v>58.346885235911017</v>
      </c>
      <c r="C30" s="6">
        <f>56.899*P47</f>
        <v>56.27009649380669</v>
      </c>
      <c r="D30" s="6">
        <f>56.399*P47</f>
        <v>55.775622983781851</v>
      </c>
      <c r="E30" s="8" t="s">
        <v>27</v>
      </c>
      <c r="M30" s="2" t="s">
        <v>3</v>
      </c>
      <c r="N30" s="2" t="s">
        <v>4</v>
      </c>
      <c r="O30" s="2" t="s">
        <v>5</v>
      </c>
      <c r="P30" s="2" t="s">
        <v>6</v>
      </c>
      <c r="Q30" s="2" t="s">
        <v>7</v>
      </c>
      <c r="R30" s="2" t="s">
        <v>8</v>
      </c>
      <c r="S30" s="2" t="s">
        <v>9</v>
      </c>
      <c r="T30" s="2" t="s">
        <v>10</v>
      </c>
    </row>
    <row r="31" spans="1:20" ht="15.75" customHeight="1" x14ac:dyDescent="0.3">
      <c r="A31" s="1" t="s">
        <v>29</v>
      </c>
      <c r="B31" s="7"/>
      <c r="C31" s="7"/>
      <c r="D31" s="7"/>
      <c r="E31" s="7"/>
      <c r="M31" s="4" t="s">
        <v>16</v>
      </c>
      <c r="N31" s="4">
        <f t="shared" ref="N31:P31" si="41">AVERAGE(B96:B97)</f>
        <v>14.632999999999999</v>
      </c>
      <c r="O31" s="4">
        <f t="shared" si="41"/>
        <v>14.4495</v>
      </c>
      <c r="P31" s="4">
        <f t="shared" si="41"/>
        <v>14.291</v>
      </c>
    </row>
    <row r="32" spans="1:20" ht="15.75" customHeight="1" x14ac:dyDescent="0.3">
      <c r="A32" s="1" t="s">
        <v>31</v>
      </c>
      <c r="B32" s="1">
        <f>57.941*P47</f>
        <v>57.300579288698458</v>
      </c>
      <c r="C32" s="1">
        <f>55.798*P47</f>
        <v>55.181265824731994</v>
      </c>
      <c r="D32" s="1">
        <f>55.732*P47</f>
        <v>55.115995321408711</v>
      </c>
      <c r="E32" s="3" t="s">
        <v>32</v>
      </c>
      <c r="M32" s="4" t="s">
        <v>19</v>
      </c>
      <c r="N32" s="4">
        <f t="shared" ref="N32:P32" si="42">AVERAGE(B98:B103)</f>
        <v>15.109627045829022</v>
      </c>
      <c r="O32" s="4">
        <f t="shared" si="42"/>
        <v>14.598835909973364</v>
      </c>
      <c r="P32" s="4">
        <f t="shared" si="42"/>
        <v>14.489557264257872</v>
      </c>
      <c r="Q32" s="2">
        <f t="shared" ref="Q32:S32" si="43">N31/N32</f>
        <v>0.96845540631920535</v>
      </c>
      <c r="R32" s="2">
        <f t="shared" si="43"/>
        <v>0.9897706974107886</v>
      </c>
      <c r="S32" s="2">
        <f t="shared" si="43"/>
        <v>0.9862965264820297</v>
      </c>
      <c r="T32" s="2">
        <f t="shared" ref="T32:T35" si="44">GEOMEAN(Q32:S32)</f>
        <v>0.98146294589438032</v>
      </c>
    </row>
    <row r="33" spans="1:22" ht="15.75" customHeight="1" x14ac:dyDescent="0.3">
      <c r="A33" s="1" t="s">
        <v>33</v>
      </c>
      <c r="B33" s="6">
        <f>55.232*P47</f>
        <v>54.621521811383872</v>
      </c>
      <c r="C33" s="6">
        <f>55.132*P47</f>
        <v>54.522627109378902</v>
      </c>
      <c r="D33" s="6">
        <f>54.799*P47</f>
        <v>54.193307751702363</v>
      </c>
      <c r="E33" s="8" t="s">
        <v>35</v>
      </c>
      <c r="M33" s="4" t="s">
        <v>22</v>
      </c>
      <c r="N33" s="4">
        <f t="shared" ref="N33:P33" si="45">AVERAGE(B104:B108)</f>
        <v>14.838701212784397</v>
      </c>
      <c r="O33" s="4">
        <f t="shared" si="45"/>
        <v>14.621854177350174</v>
      </c>
      <c r="P33" s="4">
        <f t="shared" si="45"/>
        <v>14.520737461913996</v>
      </c>
      <c r="Q33" s="2">
        <f t="shared" ref="Q33:S33" si="46">N31/N33</f>
        <v>0.98613751905677738</v>
      </c>
      <c r="R33" s="2">
        <f t="shared" si="46"/>
        <v>0.98821256351898534</v>
      </c>
      <c r="S33" s="2">
        <f t="shared" si="46"/>
        <v>0.98417866430568235</v>
      </c>
      <c r="T33" s="2">
        <f t="shared" si="44"/>
        <v>0.98617487359556477</v>
      </c>
    </row>
    <row r="34" spans="1:22" ht="15.75" customHeight="1" x14ac:dyDescent="0.3">
      <c r="A34" s="1" t="s">
        <v>36</v>
      </c>
      <c r="B34" s="7"/>
      <c r="C34" s="7"/>
      <c r="D34" s="7"/>
      <c r="E34" s="7"/>
      <c r="M34" s="4" t="s">
        <v>25</v>
      </c>
      <c r="N34" s="4">
        <f t="shared" ref="N34:P34" si="47">AVERAGE(B109:B112)</f>
        <v>14.40849650101657</v>
      </c>
      <c r="O34" s="4">
        <f t="shared" si="47"/>
        <v>14.083476778371967</v>
      </c>
      <c r="P34" s="4">
        <f t="shared" si="47"/>
        <v>13.978692885294713</v>
      </c>
      <c r="Q34" s="2">
        <f t="shared" ref="Q34:S34" si="48">N31/N34</f>
        <v>1.0155813272375498</v>
      </c>
      <c r="R34" s="2">
        <f t="shared" si="48"/>
        <v>1.0259895498382996</v>
      </c>
      <c r="S34" s="2">
        <f t="shared" si="48"/>
        <v>1.0223416536344272</v>
      </c>
      <c r="T34" s="2">
        <f t="shared" si="44"/>
        <v>1.0212950651778208</v>
      </c>
    </row>
    <row r="35" spans="1:22" ht="15.75" customHeight="1" x14ac:dyDescent="0.3">
      <c r="A35" s="1" t="s">
        <v>37</v>
      </c>
      <c r="B35" s="1">
        <f>62.198*R47</f>
        <v>58.641095260599734</v>
      </c>
      <c r="C35" s="1">
        <f>60.098*R47</f>
        <v>56.6611875457655</v>
      </c>
      <c r="D35" s="1">
        <f>58.665*R47</f>
        <v>55.310136233690521</v>
      </c>
      <c r="E35" s="3" t="s">
        <v>38</v>
      </c>
      <c r="M35" s="4" t="s">
        <v>28</v>
      </c>
      <c r="N35" s="4">
        <f t="shared" ref="N35:P35" si="49">AVERAGE(B113:B115)</f>
        <v>14.358605926927275</v>
      </c>
      <c r="O35" s="4">
        <f t="shared" si="49"/>
        <v>14.180409735060506</v>
      </c>
      <c r="P35" s="4">
        <f t="shared" si="49"/>
        <v>13.986731420902075</v>
      </c>
      <c r="Q35" s="2">
        <f t="shared" ref="Q35:S35" si="50">AVERAGE(N31/N35)</f>
        <v>1.0191100775708415</v>
      </c>
      <c r="R35" s="2">
        <f t="shared" si="50"/>
        <v>1.0189761981470944</v>
      </c>
      <c r="S35" s="2">
        <f t="shared" si="50"/>
        <v>1.0217540874948967</v>
      </c>
      <c r="T35" s="2">
        <f t="shared" si="44"/>
        <v>1.0199459861294018</v>
      </c>
    </row>
    <row r="36" spans="1:22" ht="15.75" customHeight="1" x14ac:dyDescent="0.3">
      <c r="A36" s="1" t="s">
        <v>39</v>
      </c>
      <c r="B36" s="1">
        <f>60.399*R47</f>
        <v>56.944974318225071</v>
      </c>
      <c r="C36" s="1">
        <f>59.316*R47</f>
        <v>55.923907625289139</v>
      </c>
      <c r="D36" s="1">
        <f>59.107*R47</f>
        <v>55.726859667003254</v>
      </c>
      <c r="E36" s="3" t="s">
        <v>40</v>
      </c>
      <c r="M36" s="2" t="s">
        <v>62</v>
      </c>
    </row>
    <row r="37" spans="1:22" ht="15.75" customHeight="1" x14ac:dyDescent="0.3">
      <c r="A37" s="1" t="s">
        <v>41</v>
      </c>
      <c r="B37" s="1">
        <f>60.231*R47</f>
        <v>56.786581701038337</v>
      </c>
      <c r="C37" s="1">
        <f>59.765*R47</f>
        <v>56.347230750984643</v>
      </c>
      <c r="D37" s="1">
        <f>58.232*R47</f>
        <v>54.901898119155653</v>
      </c>
      <c r="E37" s="3" t="s">
        <v>42</v>
      </c>
      <c r="M37" s="2" t="s">
        <v>3</v>
      </c>
      <c r="N37" s="2" t="s">
        <v>4</v>
      </c>
      <c r="O37" s="2" t="s">
        <v>5</v>
      </c>
      <c r="P37" s="2" t="s">
        <v>6</v>
      </c>
      <c r="Q37" s="2" t="s">
        <v>7</v>
      </c>
      <c r="R37" s="2" t="s">
        <v>8</v>
      </c>
      <c r="S37" s="2" t="s">
        <v>9</v>
      </c>
      <c r="T37" s="2" t="s">
        <v>10</v>
      </c>
    </row>
    <row r="38" spans="1:22" ht="15.75" customHeight="1" x14ac:dyDescent="0.3">
      <c r="A38" s="1" t="s">
        <v>43</v>
      </c>
      <c r="B38" s="6">
        <f>60.216*R47</f>
        <v>56.772439503075233</v>
      </c>
      <c r="C38" s="6">
        <f>59.332*R47</f>
        <v>55.938992636449775</v>
      </c>
      <c r="D38" s="6">
        <f>58.856*R47</f>
        <v>55.490213554420684</v>
      </c>
      <c r="E38" s="8" t="s">
        <v>45</v>
      </c>
      <c r="M38" s="4" t="s">
        <v>16</v>
      </c>
      <c r="N38" s="4">
        <f t="shared" ref="N38:P38" si="51">AVERAGE(B119:B120)</f>
        <v>14.2</v>
      </c>
      <c r="O38" s="4">
        <f t="shared" si="51"/>
        <v>14.132999999999999</v>
      </c>
      <c r="P38" s="4">
        <f t="shared" si="51"/>
        <v>13.916499999999999</v>
      </c>
    </row>
    <row r="39" spans="1:22" ht="15.75" customHeight="1" x14ac:dyDescent="0.3">
      <c r="A39" s="1" t="s">
        <v>47</v>
      </c>
      <c r="B39" s="7"/>
      <c r="C39" s="7"/>
      <c r="D39" s="7"/>
      <c r="E39" s="7"/>
      <c r="M39" s="4" t="s">
        <v>19</v>
      </c>
      <c r="N39" s="4">
        <f t="shared" ref="N39:P39" si="52">AVERAGE(B121:B126)</f>
        <v>14.281631153292427</v>
      </c>
      <c r="O39" s="4">
        <f t="shared" si="52"/>
        <v>13.886299582027569</v>
      </c>
      <c r="P39" s="4">
        <f t="shared" si="52"/>
        <v>13.647468876685572</v>
      </c>
      <c r="Q39" s="2">
        <f t="shared" ref="Q39:S39" si="53">N38/N39</f>
        <v>0.99428418557962772</v>
      </c>
      <c r="R39" s="2">
        <f t="shared" si="53"/>
        <v>1.0177657421629966</v>
      </c>
      <c r="S39" s="2">
        <f t="shared" si="53"/>
        <v>1.0197128951709149</v>
      </c>
      <c r="T39" s="2">
        <f t="shared" ref="T39:T42" si="54">GEOMEAN(Q39:S39)</f>
        <v>1.0105211878672673</v>
      </c>
    </row>
    <row r="40" spans="1:22" ht="15.75" customHeight="1" x14ac:dyDescent="0.3">
      <c r="A40" s="1" t="s">
        <v>48</v>
      </c>
      <c r="B40" s="1">
        <f>62.232*T47</f>
        <v>59.01277134826833</v>
      </c>
      <c r="C40" s="1">
        <f>61.973*T47</f>
        <v>58.767169282141559</v>
      </c>
      <c r="D40" s="1">
        <f>59.566*T47</f>
        <v>56.48468212705604</v>
      </c>
      <c r="E40" s="3" t="s">
        <v>49</v>
      </c>
      <c r="M40" s="4" t="s">
        <v>22</v>
      </c>
      <c r="N40" s="4">
        <f t="shared" ref="N40:P40" si="55">AVERAGE(B127:B131)</f>
        <v>14.336417481794905</v>
      </c>
      <c r="O40" s="4">
        <f t="shared" si="55"/>
        <v>14.031888818989451</v>
      </c>
      <c r="P40" s="4">
        <f t="shared" si="55"/>
        <v>13.521119769222095</v>
      </c>
      <c r="Q40" s="2">
        <f t="shared" ref="Q40:S40" si="56">N38/N40</f>
        <v>0.99048454873972969</v>
      </c>
      <c r="R40" s="2">
        <f t="shared" si="56"/>
        <v>1.0072058140079982</v>
      </c>
      <c r="S40" s="2">
        <f t="shared" si="56"/>
        <v>1.029241678021217</v>
      </c>
      <c r="T40" s="2">
        <f t="shared" si="54"/>
        <v>1.0088527087922612</v>
      </c>
    </row>
    <row r="41" spans="1:22" ht="15.75" customHeight="1" x14ac:dyDescent="0.3">
      <c r="A41" s="1" t="s">
        <v>50</v>
      </c>
      <c r="B41" s="1">
        <f>59.382*T47</f>
        <v>56.310200350348211</v>
      </c>
      <c r="C41" s="1">
        <f>59.349*T47</f>
        <v>56.278907423003872</v>
      </c>
      <c r="D41" s="1">
        <f>58.598*T47</f>
        <v>55.566756258288784</v>
      </c>
      <c r="E41" s="3" t="s">
        <v>51</v>
      </c>
      <c r="M41" s="4" t="s">
        <v>25</v>
      </c>
      <c r="N41" s="4">
        <f t="shared" ref="N41:P41" si="57">AVERAGE(B132:B135)</f>
        <v>14.678990668439978</v>
      </c>
      <c r="O41" s="4">
        <f t="shared" si="57"/>
        <v>14.340458090805775</v>
      </c>
      <c r="P41" s="4">
        <f t="shared" si="57"/>
        <v>14.188260671449219</v>
      </c>
      <c r="Q41" s="2">
        <f t="shared" ref="Q41:S41" si="58">N38/N41</f>
        <v>0.96736896430693875</v>
      </c>
      <c r="R41" s="2">
        <f t="shared" si="58"/>
        <v>0.9855333707269236</v>
      </c>
      <c r="S41" s="2">
        <f t="shared" si="58"/>
        <v>0.9808460897538992</v>
      </c>
      <c r="T41" s="2">
        <f t="shared" si="54"/>
        <v>0.97788574759843383</v>
      </c>
    </row>
    <row r="42" spans="1:22" ht="15.75" customHeight="1" x14ac:dyDescent="0.3">
      <c r="A42" s="1">
        <v>2010</v>
      </c>
      <c r="B42" s="1">
        <f>61.032*T47</f>
        <v>57.87484671756512</v>
      </c>
      <c r="C42" s="1">
        <f>59.998*T47</f>
        <v>56.894334994109194</v>
      </c>
      <c r="D42" s="1">
        <f>58.966*T47</f>
        <v>55.915719811704435</v>
      </c>
      <c r="E42" s="3" t="s">
        <v>52</v>
      </c>
      <c r="M42" s="4" t="s">
        <v>28</v>
      </c>
      <c r="N42" s="4">
        <f t="shared" ref="N42:P42" si="59">AVERAGE(B136:B138)</f>
        <v>14.518284286249115</v>
      </c>
      <c r="O42" s="4">
        <f t="shared" si="59"/>
        <v>14.396855876118437</v>
      </c>
      <c r="P42" s="4">
        <f t="shared" si="59"/>
        <v>14.36649877358577</v>
      </c>
      <c r="Q42" s="2">
        <f t="shared" ref="Q42:S42" si="60">N38/N42</f>
        <v>0.97807700414362486</v>
      </c>
      <c r="R42" s="2">
        <f t="shared" si="60"/>
        <v>0.98167267364563104</v>
      </c>
      <c r="S42" s="2">
        <f t="shared" si="60"/>
        <v>0.96867721351752467</v>
      </c>
      <c r="T42" s="2">
        <f t="shared" si="54"/>
        <v>0.97612689280703269</v>
      </c>
    </row>
    <row r="43" spans="1:22" ht="15.75" customHeight="1" x14ac:dyDescent="0.3">
      <c r="A43" s="1">
        <v>2009</v>
      </c>
      <c r="B43" s="1">
        <f>57.825*T47</f>
        <v>54.833743142010803</v>
      </c>
      <c r="C43" s="1">
        <f>57.775*T47</f>
        <v>54.786329615731503</v>
      </c>
      <c r="D43" s="1">
        <f>57.175*T47</f>
        <v>54.217367300379898</v>
      </c>
      <c r="E43" s="3" t="s">
        <v>53</v>
      </c>
    </row>
    <row r="44" spans="1:22" ht="15.75" customHeight="1" x14ac:dyDescent="0.3">
      <c r="A44" s="1" t="s">
        <v>54</v>
      </c>
      <c r="B44" s="1">
        <f>63.325*V47</f>
        <v>57.670905536438596</v>
      </c>
      <c r="C44" s="1">
        <f>62.725*V47</f>
        <v>57.124477690850547</v>
      </c>
      <c r="D44" s="1">
        <f>62.65*V47</f>
        <v>57.056174210152037</v>
      </c>
      <c r="E44" s="1" t="s">
        <v>55</v>
      </c>
    </row>
    <row r="45" spans="1:22" ht="15.75" customHeight="1" x14ac:dyDescent="0.3">
      <c r="A45" s="1">
        <v>2007</v>
      </c>
      <c r="B45" s="1">
        <f>61.875*V47</f>
        <v>56.350371576267477</v>
      </c>
      <c r="C45" s="1">
        <f>60.625*V47</f>
        <v>55.21198023129238</v>
      </c>
      <c r="D45" s="1">
        <f>60.55*V47</f>
        <v>55.143676750593869</v>
      </c>
      <c r="E45" s="3" t="s">
        <v>56</v>
      </c>
    </row>
    <row r="46" spans="1:22" ht="15.75" customHeight="1" x14ac:dyDescent="0.3">
      <c r="A46" s="1">
        <v>2006</v>
      </c>
      <c r="B46" s="1">
        <f>61.025*V47</f>
        <v>55.576265461684407</v>
      </c>
      <c r="C46" s="1">
        <f>60.75*V47</f>
        <v>55.32581936578989</v>
      </c>
      <c r="D46" s="1">
        <f>60.25*V47</f>
        <v>54.870462827799848</v>
      </c>
      <c r="E46" s="3" t="s">
        <v>58</v>
      </c>
      <c r="P46" s="2" t="s">
        <v>63</v>
      </c>
      <c r="R46" s="2" t="s">
        <v>64</v>
      </c>
      <c r="T46" s="2" t="s">
        <v>65</v>
      </c>
      <c r="V46" s="2" t="s">
        <v>66</v>
      </c>
    </row>
    <row r="47" spans="1:22" ht="15.75" customHeight="1" x14ac:dyDescent="0.3">
      <c r="A47" s="1" t="s">
        <v>59</v>
      </c>
      <c r="B47" s="2">
        <f t="shared" ref="B47:D47" si="61">AVERAGE(B28:B46)</f>
        <v>56.921273465876737</v>
      </c>
      <c r="C47" s="2">
        <f t="shared" si="61"/>
        <v>56.081125809008256</v>
      </c>
      <c r="D47" s="2">
        <f t="shared" si="61"/>
        <v>55.470915844809973</v>
      </c>
      <c r="P47" s="2">
        <v>0.98894702004967905</v>
      </c>
      <c r="R47" s="2">
        <v>0.9428131975401095</v>
      </c>
      <c r="T47" s="2">
        <v>0.94827052558600611</v>
      </c>
      <c r="V47" s="2">
        <v>0.91071307598008044</v>
      </c>
    </row>
    <row r="48" spans="1:22" ht="15.75" customHeight="1" x14ac:dyDescent="0.3">
      <c r="A48" s="1" t="s">
        <v>67</v>
      </c>
    </row>
    <row r="49" spans="1:5" ht="15.75" customHeight="1" x14ac:dyDescent="0.3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</row>
    <row r="50" spans="1:5" ht="15.75" customHeight="1" x14ac:dyDescent="0.3">
      <c r="A50" s="1" t="s">
        <v>17</v>
      </c>
      <c r="B50" s="1">
        <v>14.632999999999999</v>
      </c>
      <c r="C50" s="1">
        <v>14.5</v>
      </c>
      <c r="D50" s="1">
        <v>13.965999999999999</v>
      </c>
      <c r="E50" s="3" t="s">
        <v>18</v>
      </c>
    </row>
    <row r="51" spans="1:5" ht="15.75" customHeight="1" x14ac:dyDescent="0.3">
      <c r="A51" s="1" t="s">
        <v>20</v>
      </c>
      <c r="B51" s="1">
        <v>14.2</v>
      </c>
      <c r="C51" s="1">
        <v>13.833</v>
      </c>
      <c r="D51" s="1">
        <v>13.733000000000001</v>
      </c>
      <c r="E51" s="3" t="s">
        <v>21</v>
      </c>
    </row>
    <row r="52" spans="1:5" ht="15.75" customHeight="1" x14ac:dyDescent="0.3">
      <c r="A52" s="1" t="s">
        <v>23</v>
      </c>
      <c r="B52" s="1">
        <f>14.366*P47</f>
        <v>14.20721289003369</v>
      </c>
      <c r="C52" s="1">
        <f>14.2*P47</f>
        <v>14.043047684705442</v>
      </c>
      <c r="D52" s="1">
        <f>14.166*P47</f>
        <v>14.009423486023755</v>
      </c>
      <c r="E52" s="3" t="s">
        <v>24</v>
      </c>
    </row>
    <row r="53" spans="1:5" ht="15.75" customHeight="1" x14ac:dyDescent="0.3">
      <c r="A53" s="1" t="s">
        <v>26</v>
      </c>
      <c r="B53" s="6">
        <f>15.399*P47</f>
        <v>15.228795161745007</v>
      </c>
      <c r="C53" s="6">
        <f>14.883*P47</f>
        <v>14.718498499399372</v>
      </c>
      <c r="D53" s="6">
        <f>14.816*P47</f>
        <v>14.652239049056046</v>
      </c>
      <c r="E53" s="8" t="s">
        <v>27</v>
      </c>
    </row>
    <row r="54" spans="1:5" ht="15.75" customHeight="1" x14ac:dyDescent="0.3">
      <c r="A54" s="1" t="s">
        <v>29</v>
      </c>
      <c r="B54" s="7"/>
      <c r="C54" s="7"/>
      <c r="D54" s="7"/>
      <c r="E54" s="7"/>
    </row>
    <row r="55" spans="1:5" ht="15.75" customHeight="1" x14ac:dyDescent="0.3">
      <c r="A55" s="1" t="s">
        <v>31</v>
      </c>
      <c r="B55" s="1">
        <f>14.933*P47</f>
        <v>14.767945850401857</v>
      </c>
      <c r="C55" s="1">
        <f>13.933*P47</f>
        <v>13.778998830352178</v>
      </c>
      <c r="D55" s="1">
        <f>13.866*P47</f>
        <v>13.71273938000885</v>
      </c>
      <c r="E55" s="3" t="s">
        <v>32</v>
      </c>
    </row>
    <row r="56" spans="1:5" ht="15.75" customHeight="1" x14ac:dyDescent="0.3">
      <c r="A56" s="1" t="s">
        <v>33</v>
      </c>
      <c r="B56" s="6">
        <f>14.233*P47</f>
        <v>14.075682936367082</v>
      </c>
      <c r="C56" s="6">
        <f>14.2*P47</f>
        <v>14.043047684705442</v>
      </c>
      <c r="D56" s="6">
        <f>13.933*P47</f>
        <v>13.778998830352178</v>
      </c>
      <c r="E56" s="8" t="s">
        <v>35</v>
      </c>
    </row>
    <row r="57" spans="1:5" ht="15.75" customHeight="1" x14ac:dyDescent="0.3">
      <c r="A57" s="1" t="s">
        <v>36</v>
      </c>
      <c r="B57" s="7"/>
      <c r="C57" s="7"/>
      <c r="D57" s="7"/>
      <c r="E57" s="7"/>
    </row>
    <row r="58" spans="1:5" ht="15.75" customHeight="1" x14ac:dyDescent="0.3">
      <c r="A58" s="1" t="s">
        <v>37</v>
      </c>
      <c r="B58" s="1">
        <f>15.966*R47</f>
        <v>15.052955511925388</v>
      </c>
      <c r="C58" s="1">
        <f>15.5*R47</f>
        <v>14.613604561871698</v>
      </c>
      <c r="D58" s="1">
        <f>14.933*R47</f>
        <v>14.079029478866454</v>
      </c>
      <c r="E58" s="3" t="s">
        <v>38</v>
      </c>
    </row>
    <row r="59" spans="1:5" ht="15.75" customHeight="1" x14ac:dyDescent="0.3">
      <c r="A59" s="1" t="s">
        <v>39</v>
      </c>
      <c r="B59" s="1">
        <f>15.8*R47</f>
        <v>14.896448521133731</v>
      </c>
      <c r="C59" s="1">
        <f>15.1*R47</f>
        <v>14.236479282855653</v>
      </c>
      <c r="D59" s="1">
        <f>15*R47</f>
        <v>14.142197963101642</v>
      </c>
      <c r="E59" s="3" t="s">
        <v>40</v>
      </c>
    </row>
    <row r="60" spans="1:5" ht="15.75" customHeight="1" x14ac:dyDescent="0.3">
      <c r="A60" s="1" t="s">
        <v>41</v>
      </c>
      <c r="B60" s="1">
        <f>15.333*R47</f>
        <v>14.4561547578825</v>
      </c>
      <c r="C60" s="1">
        <f>14.8*R47</f>
        <v>13.953635323593621</v>
      </c>
      <c r="D60" s="1">
        <f>14.733*R47</f>
        <v>13.890466839358433</v>
      </c>
      <c r="E60" s="3" t="s">
        <v>42</v>
      </c>
    </row>
    <row r="61" spans="1:5" ht="15.75" customHeight="1" x14ac:dyDescent="0.3">
      <c r="A61" s="1" t="s">
        <v>43</v>
      </c>
      <c r="B61" s="6">
        <f>15*R47</f>
        <v>14.142197963101642</v>
      </c>
      <c r="C61" s="6">
        <f>14.633*R47</f>
        <v>13.796185519604421</v>
      </c>
      <c r="D61" s="6">
        <f>14.6*R47</f>
        <v>13.765072684085599</v>
      </c>
      <c r="E61" s="8" t="s">
        <v>45</v>
      </c>
    </row>
    <row r="62" spans="1:5" ht="15.75" customHeight="1" x14ac:dyDescent="0.3">
      <c r="A62" s="1" t="s">
        <v>47</v>
      </c>
      <c r="B62" s="7"/>
      <c r="C62" s="7"/>
      <c r="D62" s="7"/>
      <c r="E62" s="7"/>
    </row>
    <row r="63" spans="1:5" ht="15.75" customHeight="1" x14ac:dyDescent="0.3">
      <c r="A63" s="1" t="s">
        <v>48</v>
      </c>
      <c r="B63" s="1">
        <f>15.6*T47</f>
        <v>14.793020199141695</v>
      </c>
      <c r="C63" s="1">
        <f>15.2*T47</f>
        <v>14.413711988907291</v>
      </c>
      <c r="D63" s="1">
        <f>14.9*T47</f>
        <v>14.12923083123149</v>
      </c>
      <c r="E63" s="3" t="s">
        <v>49</v>
      </c>
    </row>
    <row r="64" spans="1:5" ht="15.75" customHeight="1" x14ac:dyDescent="0.3">
      <c r="A64" s="1" t="s">
        <v>50</v>
      </c>
      <c r="B64" s="1">
        <f>15.133*T47</f>
        <v>14.35017786369303</v>
      </c>
      <c r="C64" s="1">
        <f>15.066*T47</f>
        <v>14.286643738478769</v>
      </c>
      <c r="D64" s="1">
        <f>15*T47</f>
        <v>14.224057883790092</v>
      </c>
      <c r="E64" s="3" t="s">
        <v>51</v>
      </c>
    </row>
    <row r="65" spans="1:5" ht="15.75" customHeight="1" x14ac:dyDescent="0.3">
      <c r="A65" s="1">
        <v>2010</v>
      </c>
      <c r="B65" s="1">
        <f>14.833*T47</f>
        <v>14.06569670601723</v>
      </c>
      <c r="C65" s="1">
        <f>14.766*T47</f>
        <v>14.002162580802967</v>
      </c>
      <c r="D65" s="5">
        <f>14.766*T47</f>
        <v>14.002162580802967</v>
      </c>
      <c r="E65" s="3" t="s">
        <v>52</v>
      </c>
    </row>
    <row r="66" spans="1:5" ht="15.75" customHeight="1" x14ac:dyDescent="0.3">
      <c r="A66" s="1">
        <v>2009</v>
      </c>
      <c r="B66" s="1">
        <f>14.65*T47</f>
        <v>13.892163199834989</v>
      </c>
      <c r="C66" s="1">
        <f>14.55*T47</f>
        <v>13.79733614727639</v>
      </c>
      <c r="D66" s="1">
        <f>14.3*T47</f>
        <v>13.560268515879889</v>
      </c>
      <c r="E66" s="3" t="s">
        <v>53</v>
      </c>
    </row>
    <row r="67" spans="1:5" ht="15.75" customHeight="1" x14ac:dyDescent="0.3">
      <c r="A67" s="1" t="s">
        <v>54</v>
      </c>
      <c r="B67" s="1">
        <f>15.65*V47</f>
        <v>14.252659639088259</v>
      </c>
      <c r="C67" s="1">
        <f>15.5*V47</f>
        <v>14.116052677691247</v>
      </c>
      <c r="D67" s="1">
        <f>15.425*V47</f>
        <v>14.047749196992742</v>
      </c>
      <c r="E67" s="1" t="s">
        <v>55</v>
      </c>
    </row>
    <row r="68" spans="1:5" ht="15.75" customHeight="1" x14ac:dyDescent="0.3">
      <c r="A68" s="1">
        <v>2007</v>
      </c>
      <c r="B68" s="1">
        <f>15.25*V47</f>
        <v>13.888374408696226</v>
      </c>
      <c r="C68" s="1">
        <f>15.225*V47</f>
        <v>13.865606581796724</v>
      </c>
      <c r="D68" s="1">
        <f>15.125*V47</f>
        <v>13.774535274198717</v>
      </c>
      <c r="E68" s="3" t="s">
        <v>56</v>
      </c>
    </row>
    <row r="69" spans="1:5" ht="15.75" customHeight="1" x14ac:dyDescent="0.3">
      <c r="A69" s="1">
        <v>2006</v>
      </c>
      <c r="B69" s="1">
        <f>15.875*V47</f>
        <v>14.457570081183777</v>
      </c>
      <c r="C69" s="1">
        <f>15.55*V47</f>
        <v>14.161588331490252</v>
      </c>
      <c r="D69" s="1">
        <f>15.45*V47</f>
        <v>14.070517023892242</v>
      </c>
      <c r="E69" s="3" t="s">
        <v>58</v>
      </c>
    </row>
    <row r="70" spans="1:5" ht="15.75" customHeight="1" x14ac:dyDescent="0.3">
      <c r="A70" s="1" t="s">
        <v>59</v>
      </c>
      <c r="B70" s="2">
        <f t="shared" ref="B70:D70" si="62">AVERAGE(B50:B69)</f>
        <v>14.432944452367416</v>
      </c>
      <c r="C70" s="2">
        <f t="shared" si="62"/>
        <v>14.127035260795971</v>
      </c>
      <c r="D70" s="2">
        <f t="shared" si="62"/>
        <v>13.972805236331833</v>
      </c>
    </row>
    <row r="71" spans="1:5" ht="15.75" customHeight="1" x14ac:dyDescent="0.3">
      <c r="A71" s="1" t="s">
        <v>68</v>
      </c>
    </row>
    <row r="72" spans="1:5" ht="15.75" customHeight="1" x14ac:dyDescent="0.3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</row>
    <row r="73" spans="1:5" ht="15.75" customHeight="1" x14ac:dyDescent="0.3">
      <c r="A73" s="1" t="s">
        <v>17</v>
      </c>
      <c r="B73" s="1">
        <v>15.1</v>
      </c>
      <c r="C73" s="1">
        <v>15.032999999999999</v>
      </c>
      <c r="D73" s="1">
        <v>14.766</v>
      </c>
      <c r="E73" s="3" t="s">
        <v>18</v>
      </c>
    </row>
    <row r="74" spans="1:5" ht="15.75" customHeight="1" x14ac:dyDescent="0.3">
      <c r="A74" s="1" t="s">
        <v>20</v>
      </c>
      <c r="B74" s="1">
        <v>14.965999999999999</v>
      </c>
      <c r="C74" s="1">
        <v>14.766</v>
      </c>
      <c r="D74" s="1">
        <v>14.7</v>
      </c>
      <c r="E74" s="3" t="s">
        <v>21</v>
      </c>
    </row>
    <row r="75" spans="1:5" ht="15.75" customHeight="1" x14ac:dyDescent="0.3">
      <c r="A75" s="1" t="s">
        <v>23</v>
      </c>
      <c r="B75" s="1">
        <f>15.2*P47</f>
        <v>15.031994704755121</v>
      </c>
      <c r="C75" s="1">
        <f>14.833*P47</f>
        <v>14.669051148396889</v>
      </c>
      <c r="D75" s="1">
        <f>14.5*P47</f>
        <v>14.339731790720347</v>
      </c>
      <c r="E75" s="3" t="s">
        <v>24</v>
      </c>
    </row>
    <row r="76" spans="1:5" ht="15.75" customHeight="1" x14ac:dyDescent="0.3">
      <c r="A76" s="1" t="s">
        <v>26</v>
      </c>
      <c r="B76" s="6">
        <f>15.233*P47</f>
        <v>15.064629956416761</v>
      </c>
      <c r="C76" s="6">
        <f>15*P47</f>
        <v>14.834205300745186</v>
      </c>
      <c r="D76" s="6">
        <f>14.8*P47</f>
        <v>14.636415896735251</v>
      </c>
      <c r="E76" s="8" t="s">
        <v>27</v>
      </c>
    </row>
    <row r="77" spans="1:5" ht="15.75" customHeight="1" x14ac:dyDescent="0.3">
      <c r="A77" s="1" t="s">
        <v>29</v>
      </c>
      <c r="B77" s="7"/>
      <c r="C77" s="7"/>
      <c r="D77" s="7"/>
      <c r="E77" s="7"/>
    </row>
    <row r="78" spans="1:5" ht="15.75" customHeight="1" x14ac:dyDescent="0.3">
      <c r="A78" s="1" t="s">
        <v>31</v>
      </c>
      <c r="B78" s="1">
        <f>15.2*P47</f>
        <v>15.031994704755121</v>
      </c>
      <c r="C78" s="1">
        <f>14.7*P47</f>
        <v>14.537521194730282</v>
      </c>
      <c r="D78" s="1">
        <f>14.6*P47</f>
        <v>14.438626492725314</v>
      </c>
      <c r="E78" s="3" t="s">
        <v>32</v>
      </c>
    </row>
    <row r="79" spans="1:5" ht="15.75" customHeight="1" x14ac:dyDescent="0.3">
      <c r="A79" s="1" t="s">
        <v>33</v>
      </c>
      <c r="B79" s="6">
        <f>15.166*P47</f>
        <v>14.998370506073433</v>
      </c>
      <c r="C79" s="6">
        <f>15.1*P47</f>
        <v>14.933100002750153</v>
      </c>
      <c r="D79" s="6">
        <f>15.033*P47</f>
        <v>14.866840552406824</v>
      </c>
      <c r="E79" s="8" t="s">
        <v>35</v>
      </c>
    </row>
    <row r="80" spans="1:5" ht="15.75" customHeight="1" x14ac:dyDescent="0.3">
      <c r="A80" s="1" t="s">
        <v>36</v>
      </c>
      <c r="B80" s="7"/>
      <c r="C80" s="7"/>
      <c r="D80" s="7"/>
      <c r="E80" s="7"/>
    </row>
    <row r="81" spans="1:5" ht="15.75" customHeight="1" x14ac:dyDescent="0.3">
      <c r="A81" s="1" t="s">
        <v>37</v>
      </c>
      <c r="B81" s="1">
        <f>15.9*R47</f>
        <v>14.990729840887742</v>
      </c>
      <c r="C81" s="1">
        <f>15.833*R47</f>
        <v>14.927561356652554</v>
      </c>
      <c r="D81" s="1">
        <f>15.566*R47</f>
        <v>14.675830232909345</v>
      </c>
      <c r="E81" s="3" t="s">
        <v>38</v>
      </c>
    </row>
    <row r="82" spans="1:5" ht="15.75" customHeight="1" x14ac:dyDescent="0.3">
      <c r="A82" s="1" t="s">
        <v>39</v>
      </c>
      <c r="B82" s="1">
        <f>15.366*R47</f>
        <v>14.487267593401322</v>
      </c>
      <c r="C82" s="1">
        <f>15.366*R47</f>
        <v>14.487267593401322</v>
      </c>
      <c r="D82" s="1">
        <f>15.366*R47</f>
        <v>14.487267593401322</v>
      </c>
      <c r="E82" s="3" t="s">
        <v>40</v>
      </c>
    </row>
    <row r="83" spans="1:5" ht="15.75" customHeight="1" x14ac:dyDescent="0.3">
      <c r="A83" s="1" t="s">
        <v>41</v>
      </c>
      <c r="B83" s="1">
        <f>15.633*R47</f>
        <v>14.738998717144531</v>
      </c>
      <c r="C83" s="1">
        <f>15.566*R47</f>
        <v>14.675830232909345</v>
      </c>
      <c r="D83" s="1">
        <f>15.283*R47</f>
        <v>14.409014098005493</v>
      </c>
      <c r="E83" s="3" t="s">
        <v>42</v>
      </c>
    </row>
    <row r="84" spans="1:5" ht="15.75" customHeight="1" x14ac:dyDescent="0.3">
      <c r="A84" s="1" t="s">
        <v>43</v>
      </c>
      <c r="B84" s="6">
        <f>15.4*R47</f>
        <v>14.519323242117686</v>
      </c>
      <c r="C84" s="6">
        <f>15.266*R47</f>
        <v>14.392986273647312</v>
      </c>
      <c r="D84" s="6">
        <f>15.033*R47</f>
        <v>14.173310798620466</v>
      </c>
      <c r="E84" s="8" t="s">
        <v>45</v>
      </c>
    </row>
    <row r="85" spans="1:5" ht="15.75" customHeight="1" x14ac:dyDescent="0.3">
      <c r="A85" s="1" t="s">
        <v>47</v>
      </c>
      <c r="B85" s="7"/>
      <c r="C85" s="7"/>
      <c r="D85" s="7"/>
      <c r="E85" s="7"/>
    </row>
    <row r="86" spans="1:5" ht="15.75" customHeight="1" x14ac:dyDescent="0.3">
      <c r="A86" s="1" t="s">
        <v>48</v>
      </c>
      <c r="B86" s="1">
        <f>16.133*T47</f>
        <v>15.298448389279036</v>
      </c>
      <c r="C86" s="1">
        <f>15.933*T47</f>
        <v>15.108794284161835</v>
      </c>
      <c r="D86" s="1">
        <f>15.916*T47</f>
        <v>15.092673685226874</v>
      </c>
      <c r="E86" s="3" t="s">
        <v>49</v>
      </c>
    </row>
    <row r="87" spans="1:5" ht="15.75" customHeight="1" x14ac:dyDescent="0.3">
      <c r="A87" s="1" t="s">
        <v>50</v>
      </c>
      <c r="B87" s="1">
        <f>15.5*T47</f>
        <v>14.698193146583094</v>
      </c>
      <c r="C87" s="1">
        <f>15*T47</f>
        <v>14.224057883790092</v>
      </c>
      <c r="D87" s="1">
        <f>14.833*T47</f>
        <v>14.06569670601723</v>
      </c>
      <c r="E87" s="3" t="s">
        <v>51</v>
      </c>
    </row>
    <row r="88" spans="1:5" ht="15.75" customHeight="1" x14ac:dyDescent="0.3">
      <c r="A88" s="1">
        <v>2010</v>
      </c>
      <c r="B88" s="1">
        <f>15.733*T47</f>
        <v>14.919140179044634</v>
      </c>
      <c r="C88" s="1">
        <f>15.6*T47</f>
        <v>14.793020199141695</v>
      </c>
      <c r="D88" s="1">
        <f>15.066*T47</f>
        <v>14.286643738478769</v>
      </c>
      <c r="E88" s="3" t="s">
        <v>52</v>
      </c>
    </row>
    <row r="89" spans="1:5" ht="15.75" customHeight="1" x14ac:dyDescent="0.3">
      <c r="A89" s="1">
        <v>2009</v>
      </c>
      <c r="B89" s="1">
        <f>16*T47</f>
        <v>15.172328409376098</v>
      </c>
      <c r="C89" s="1">
        <f>14.875*T47</f>
        <v>14.105524068091841</v>
      </c>
      <c r="D89" s="1">
        <f>14.675*T47</f>
        <v>13.915869962974641</v>
      </c>
      <c r="E89" s="3" t="s">
        <v>53</v>
      </c>
    </row>
    <row r="90" spans="1:5" ht="15.75" customHeight="1" x14ac:dyDescent="0.3">
      <c r="A90" s="1" t="s">
        <v>54</v>
      </c>
      <c r="B90" s="1">
        <f>16.725*V47</f>
        <v>15.231676195766847</v>
      </c>
      <c r="C90" s="1">
        <f>16.725*V47</f>
        <v>15.231676195766847</v>
      </c>
      <c r="D90" s="1">
        <f>16.65*V47</f>
        <v>15.163372715068338</v>
      </c>
      <c r="E90" s="1" t="s">
        <v>55</v>
      </c>
    </row>
    <row r="91" spans="1:5" ht="15.75" customHeight="1" x14ac:dyDescent="0.3">
      <c r="A91" s="1">
        <v>2007</v>
      </c>
      <c r="B91" s="1">
        <f>16.35*V47</f>
        <v>14.890158792274317</v>
      </c>
      <c r="C91" s="1">
        <f>16.3*V47</f>
        <v>14.844623138475312</v>
      </c>
      <c r="D91" s="1">
        <f>16.15*V47</f>
        <v>14.708016177078298</v>
      </c>
      <c r="E91" s="3" t="s">
        <v>56</v>
      </c>
    </row>
    <row r="92" spans="1:5" ht="15.75" customHeight="1" x14ac:dyDescent="0.3">
      <c r="A92" s="1">
        <v>2006</v>
      </c>
      <c r="B92" s="1">
        <f>16.2*V47</f>
        <v>14.753551830877303</v>
      </c>
      <c r="C92" s="1">
        <f>16.05*V47</f>
        <v>14.616944869480292</v>
      </c>
      <c r="D92" s="1">
        <f>15.775*V47</f>
        <v>14.36649877358577</v>
      </c>
      <c r="E92" s="3" t="s">
        <v>58</v>
      </c>
    </row>
    <row r="93" spans="1:5" ht="15.75" customHeight="1" x14ac:dyDescent="0.3">
      <c r="A93" s="1" t="s">
        <v>59</v>
      </c>
      <c r="B93" s="2">
        <f t="shared" ref="B93:D93" si="63">AVERAGE(B73:B92)</f>
        <v>14.934870953456061</v>
      </c>
      <c r="C93" s="2">
        <f t="shared" si="63"/>
        <v>14.716539043655352</v>
      </c>
      <c r="D93" s="2">
        <f t="shared" si="63"/>
        <v>14.534812306703193</v>
      </c>
    </row>
    <row r="94" spans="1:5" ht="15.75" customHeight="1" x14ac:dyDescent="0.3">
      <c r="A94" s="1" t="s">
        <v>69</v>
      </c>
    </row>
    <row r="95" spans="1:5" ht="15.75" customHeight="1" x14ac:dyDescent="0.3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15</v>
      </c>
    </row>
    <row r="96" spans="1:5" ht="15.75" customHeight="1" x14ac:dyDescent="0.3">
      <c r="A96" s="1" t="s">
        <v>17</v>
      </c>
      <c r="B96" s="1">
        <v>14.75</v>
      </c>
      <c r="C96" s="1">
        <v>14.548999999999999</v>
      </c>
      <c r="D96" s="1">
        <v>14.416</v>
      </c>
      <c r="E96" s="3" t="s">
        <v>18</v>
      </c>
    </row>
    <row r="97" spans="1:5" ht="15.75" customHeight="1" x14ac:dyDescent="0.3">
      <c r="A97" s="1" t="s">
        <v>20</v>
      </c>
      <c r="B97" s="1">
        <v>14.516</v>
      </c>
      <c r="C97" s="1">
        <v>14.35</v>
      </c>
      <c r="D97" s="1">
        <v>14.166</v>
      </c>
      <c r="E97" s="3" t="s">
        <v>21</v>
      </c>
    </row>
    <row r="98" spans="1:5" ht="15.75" customHeight="1" x14ac:dyDescent="0.3">
      <c r="A98" s="1" t="s">
        <v>23</v>
      </c>
      <c r="B98" s="1">
        <f>15.499*P47</f>
        <v>15.327689863749976</v>
      </c>
      <c r="C98" s="1">
        <f>14.883*P47</f>
        <v>14.718498499399372</v>
      </c>
      <c r="D98" s="1">
        <f>14.816*P47</f>
        <v>14.652239049056046</v>
      </c>
      <c r="E98" s="3" t="s">
        <v>24</v>
      </c>
    </row>
    <row r="99" spans="1:5" ht="15.75" customHeight="1" x14ac:dyDescent="0.3">
      <c r="A99" s="1" t="s">
        <v>26</v>
      </c>
      <c r="B99" s="6">
        <f>15.399*P47</f>
        <v>15.228795161745007</v>
      </c>
      <c r="C99" s="6">
        <f>14.883*P47</f>
        <v>14.718498499399372</v>
      </c>
      <c r="D99" s="6">
        <f>14.816*P47</f>
        <v>14.652239049056046</v>
      </c>
      <c r="E99" s="8" t="s">
        <v>27</v>
      </c>
    </row>
    <row r="100" spans="1:5" ht="15.75" customHeight="1" x14ac:dyDescent="0.3">
      <c r="A100" s="1" t="s">
        <v>29</v>
      </c>
      <c r="B100" s="7"/>
      <c r="C100" s="7"/>
      <c r="D100" s="7"/>
      <c r="E100" s="7"/>
    </row>
    <row r="101" spans="1:5" ht="15.75" customHeight="1" x14ac:dyDescent="0.3">
      <c r="A101" s="1" t="s">
        <v>31</v>
      </c>
      <c r="B101" s="1">
        <f>15.366*P47</f>
        <v>15.196159910083368</v>
      </c>
      <c r="C101" s="1">
        <f>14.516*P47</f>
        <v>14.355554943041142</v>
      </c>
      <c r="D101" s="1">
        <f>14.508*P47</f>
        <v>14.347643366880742</v>
      </c>
      <c r="E101" s="3" t="s">
        <v>32</v>
      </c>
    </row>
    <row r="102" spans="1:5" ht="15.75" customHeight="1" x14ac:dyDescent="0.3">
      <c r="A102" s="1" t="s">
        <v>33</v>
      </c>
      <c r="B102" s="6">
        <f>14.85*P47</f>
        <v>14.685863247737734</v>
      </c>
      <c r="C102" s="6">
        <f>14.766*P47</f>
        <v>14.602791698053561</v>
      </c>
      <c r="D102" s="6">
        <f>14.466*P47</f>
        <v>14.306107592038657</v>
      </c>
      <c r="E102" s="8" t="s">
        <v>35</v>
      </c>
    </row>
    <row r="103" spans="1:5" ht="15.75" customHeight="1" x14ac:dyDescent="0.3">
      <c r="A103" s="1" t="s">
        <v>36</v>
      </c>
      <c r="B103" s="7"/>
      <c r="C103" s="7"/>
      <c r="D103" s="7"/>
      <c r="E103" s="7"/>
    </row>
    <row r="104" spans="1:5" ht="15.75" customHeight="1" x14ac:dyDescent="0.3">
      <c r="A104" s="1" t="s">
        <v>37</v>
      </c>
      <c r="B104" s="1">
        <f>15.966*R47</f>
        <v>15.052955511925388</v>
      </c>
      <c r="C104" s="1">
        <f>15.253*R47</f>
        <v>14.380729702079291</v>
      </c>
      <c r="D104" s="1">
        <f>15.216*R47</f>
        <v>14.345845613770306</v>
      </c>
      <c r="E104" s="3" t="s">
        <v>38</v>
      </c>
    </row>
    <row r="105" spans="1:5" ht="15.75" customHeight="1" x14ac:dyDescent="0.3">
      <c r="A105" s="1" t="s">
        <v>39</v>
      </c>
      <c r="B105" s="1">
        <f>15.666*R47</f>
        <v>14.770111552663355</v>
      </c>
      <c r="C105" s="1">
        <f>15.633*R47</f>
        <v>14.738998717144531</v>
      </c>
      <c r="D105" s="1">
        <f>15.541*R47</f>
        <v>14.652259902970842</v>
      </c>
      <c r="E105" s="3" t="s">
        <v>40</v>
      </c>
    </row>
    <row r="106" spans="1:5" ht="15.75" customHeight="1" x14ac:dyDescent="0.3">
      <c r="A106" s="1" t="s">
        <v>41</v>
      </c>
      <c r="B106" s="1">
        <f>15.599*R47</f>
        <v>14.706943068428169</v>
      </c>
      <c r="C106" s="1">
        <f>15.554*R47</f>
        <v>14.664516474538864</v>
      </c>
      <c r="D106" s="1">
        <f>15.366*R47</f>
        <v>14.487267593401322</v>
      </c>
      <c r="E106" s="3" t="s">
        <v>42</v>
      </c>
    </row>
    <row r="107" spans="1:5" ht="15.75" customHeight="1" x14ac:dyDescent="0.3">
      <c r="A107" s="1" t="s">
        <v>43</v>
      </c>
      <c r="B107" s="6">
        <f>15.724*R47</f>
        <v>14.824794718120682</v>
      </c>
      <c r="C107" s="6">
        <f>15.595*R47</f>
        <v>14.703171815638008</v>
      </c>
      <c r="D107" s="6">
        <f>15.483*R47</f>
        <v>14.597576737513515</v>
      </c>
      <c r="E107" s="8" t="s">
        <v>45</v>
      </c>
    </row>
    <row r="108" spans="1:5" ht="15.75" customHeight="1" x14ac:dyDescent="0.3">
      <c r="A108" s="1" t="s">
        <v>47</v>
      </c>
      <c r="B108" s="7"/>
      <c r="C108" s="7"/>
      <c r="D108" s="7"/>
      <c r="E108" s="7"/>
    </row>
    <row r="109" spans="1:5" ht="15.75" customHeight="1" x14ac:dyDescent="0.3">
      <c r="A109" s="1" t="s">
        <v>48</v>
      </c>
      <c r="B109" s="1">
        <f>15.191*T47</f>
        <v>14.405177554177019</v>
      </c>
      <c r="C109" s="1">
        <f>15.083*T47</f>
        <v>14.302764337413731</v>
      </c>
      <c r="D109" s="1">
        <f>15.05*T47</f>
        <v>14.271471410069392</v>
      </c>
      <c r="E109" s="3" t="s">
        <v>49</v>
      </c>
    </row>
    <row r="110" spans="1:5" ht="15.75" customHeight="1" x14ac:dyDescent="0.3">
      <c r="A110" s="1" t="s">
        <v>50</v>
      </c>
      <c r="B110" s="1">
        <f>15.3*T47</f>
        <v>14.508539041465895</v>
      </c>
      <c r="C110" s="1">
        <f>14.733*T47</f>
        <v>13.970869653458628</v>
      </c>
      <c r="D110" s="1">
        <f>14.666*T47</f>
        <v>13.907335528244365</v>
      </c>
      <c r="E110" s="3" t="s">
        <v>51</v>
      </c>
    </row>
    <row r="111" spans="1:5" ht="15.75" customHeight="1" x14ac:dyDescent="0.3">
      <c r="A111" s="1">
        <v>2010</v>
      </c>
      <c r="B111" s="1">
        <f>15.2*T47</f>
        <v>14.413711988907291</v>
      </c>
      <c r="C111" s="1">
        <f>15.066*T47</f>
        <v>14.286643738478769</v>
      </c>
      <c r="D111" s="1">
        <f>14.799*T47</f>
        <v>14.033455508147304</v>
      </c>
      <c r="E111" s="3" t="s">
        <v>52</v>
      </c>
    </row>
    <row r="112" spans="1:5" ht="15.75" customHeight="1" x14ac:dyDescent="0.3">
      <c r="A112" s="1">
        <v>2009</v>
      </c>
      <c r="B112" s="1">
        <f>15.087*T47</f>
        <v>14.306557419516073</v>
      </c>
      <c r="C112" s="1">
        <f>14.525*T47</f>
        <v>13.77362938413674</v>
      </c>
      <c r="D112" s="1">
        <f>14.45*T47</f>
        <v>13.702509094717788</v>
      </c>
      <c r="E112" s="3" t="s">
        <v>53</v>
      </c>
    </row>
    <row r="113" spans="1:5" ht="15.75" customHeight="1" x14ac:dyDescent="0.3">
      <c r="A113" s="1" t="s">
        <v>54</v>
      </c>
      <c r="B113" s="1">
        <f>15.65*V47</f>
        <v>14.252659639088259</v>
      </c>
      <c r="C113" s="1">
        <f>15.575*V47</f>
        <v>14.184356158389752</v>
      </c>
      <c r="D113" s="1">
        <f>15.562*V47</f>
        <v>14.172516888402011</v>
      </c>
      <c r="E113" s="1" t="s">
        <v>55</v>
      </c>
    </row>
    <row r="114" spans="1:5" ht="15.75" customHeight="1" x14ac:dyDescent="0.3">
      <c r="A114" s="1">
        <v>2007</v>
      </c>
      <c r="B114" s="1">
        <f>15.937*V47</f>
        <v>14.514034291894541</v>
      </c>
      <c r="C114" s="1">
        <f>15.812*V47</f>
        <v>14.400195157397031</v>
      </c>
      <c r="D114" s="1">
        <f>15.412*V47</f>
        <v>14.035909927005001</v>
      </c>
      <c r="E114" s="3" t="s">
        <v>56</v>
      </c>
    </row>
    <row r="115" spans="1:5" ht="15.75" customHeight="1" x14ac:dyDescent="0.3">
      <c r="A115" s="1">
        <v>2006</v>
      </c>
      <c r="B115" s="1">
        <f>15.712*V47</f>
        <v>14.309123849799024</v>
      </c>
      <c r="C115" s="1">
        <f>15.325*V47</f>
        <v>13.956677889394733</v>
      </c>
      <c r="D115" s="1">
        <f>15.1*V47</f>
        <v>13.751767447299214</v>
      </c>
      <c r="E115" s="3" t="s">
        <v>58</v>
      </c>
    </row>
    <row r="116" spans="1:5" ht="15.75" customHeight="1" x14ac:dyDescent="0.3">
      <c r="A116" s="1" t="s">
        <v>59</v>
      </c>
      <c r="B116" s="2">
        <f t="shared" ref="B116:D116" si="64">AVERAGE(B96:B115)</f>
        <v>14.692300989370692</v>
      </c>
      <c r="C116" s="2">
        <f t="shared" si="64"/>
        <v>14.391582156939032</v>
      </c>
      <c r="D116" s="2">
        <f t="shared" si="64"/>
        <v>14.264596747563091</v>
      </c>
    </row>
    <row r="117" spans="1:5" ht="15.75" customHeight="1" x14ac:dyDescent="0.3">
      <c r="A117" s="1" t="s">
        <v>70</v>
      </c>
    </row>
    <row r="118" spans="1:5" ht="15.75" customHeight="1" x14ac:dyDescent="0.3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15</v>
      </c>
    </row>
    <row r="119" spans="1:5" ht="15.75" customHeight="1" x14ac:dyDescent="0.3">
      <c r="A119" s="1" t="s">
        <v>17</v>
      </c>
      <c r="B119" s="1">
        <v>14.8</v>
      </c>
      <c r="C119" s="1">
        <v>14.7</v>
      </c>
      <c r="D119" s="1">
        <v>14.3</v>
      </c>
      <c r="E119" s="3" t="s">
        <v>18</v>
      </c>
    </row>
    <row r="120" spans="1:5" ht="15.75" customHeight="1" x14ac:dyDescent="0.3">
      <c r="A120" s="1" t="s">
        <v>20</v>
      </c>
      <c r="B120" s="1">
        <v>13.6</v>
      </c>
      <c r="C120" s="1">
        <v>13.566000000000001</v>
      </c>
      <c r="D120" s="1">
        <v>13.532999999999999</v>
      </c>
      <c r="E120" s="3" t="s">
        <v>21</v>
      </c>
    </row>
    <row r="121" spans="1:5" ht="15.75" customHeight="1" x14ac:dyDescent="0.3">
      <c r="A121" s="1" t="s">
        <v>23</v>
      </c>
      <c r="B121" s="1">
        <f>14.633*P47</f>
        <v>14.471261744386952</v>
      </c>
      <c r="C121" s="1">
        <f>14.233*P47</f>
        <v>14.075682936367082</v>
      </c>
      <c r="D121" s="1">
        <f>14*P47</f>
        <v>13.845258280695507</v>
      </c>
      <c r="E121" s="3" t="s">
        <v>24</v>
      </c>
    </row>
    <row r="122" spans="1:5" ht="15.75" customHeight="1" x14ac:dyDescent="0.3">
      <c r="A122" s="1" t="s">
        <v>26</v>
      </c>
      <c r="B122" s="6">
        <f>15.066*P47</f>
        <v>14.899475804068466</v>
      </c>
      <c r="C122" s="6">
        <f>14.433*P47</f>
        <v>14.273472340377017</v>
      </c>
      <c r="D122" s="6">
        <f>14.3*P47</f>
        <v>14.141942386710411</v>
      </c>
      <c r="E122" s="8" t="s">
        <v>27</v>
      </c>
    </row>
    <row r="123" spans="1:5" ht="15.75" customHeight="1" x14ac:dyDescent="0.3">
      <c r="A123" s="1" t="s">
        <v>29</v>
      </c>
      <c r="B123" s="7"/>
      <c r="C123" s="7"/>
      <c r="D123" s="7"/>
      <c r="E123" s="7"/>
    </row>
    <row r="124" spans="1:5" ht="15.75" customHeight="1" x14ac:dyDescent="0.3">
      <c r="A124" s="1" t="s">
        <v>31</v>
      </c>
      <c r="B124" s="1">
        <f>14.533*P47</f>
        <v>14.372367042381985</v>
      </c>
      <c r="C124" s="1">
        <f>14.1*P47</f>
        <v>13.944152982700475</v>
      </c>
      <c r="D124" s="1">
        <f>13.6*P47</f>
        <v>13.449679472675635</v>
      </c>
      <c r="E124" s="3" t="s">
        <v>32</v>
      </c>
    </row>
    <row r="125" spans="1:5" ht="15.75" customHeight="1" x14ac:dyDescent="0.3">
      <c r="A125" s="1" t="s">
        <v>33</v>
      </c>
      <c r="B125" s="6">
        <f>13.533*P47</f>
        <v>13.383420022332306</v>
      </c>
      <c r="C125" s="6">
        <f>13.4*P47</f>
        <v>13.2518900686657</v>
      </c>
      <c r="D125" s="6">
        <f>13.3*P47</f>
        <v>13.152995366660733</v>
      </c>
      <c r="E125" s="8" t="s">
        <v>35</v>
      </c>
    </row>
    <row r="126" spans="1:5" ht="15.75" customHeight="1" x14ac:dyDescent="0.3">
      <c r="A126" s="1" t="s">
        <v>36</v>
      </c>
      <c r="B126" s="7"/>
      <c r="C126" s="7"/>
      <c r="D126" s="7"/>
      <c r="E126" s="7"/>
    </row>
    <row r="127" spans="1:5" ht="15.75" customHeight="1" x14ac:dyDescent="0.3">
      <c r="A127" s="1" t="s">
        <v>37</v>
      </c>
      <c r="B127" s="1">
        <f>15.466*R47</f>
        <v>14.581548913155332</v>
      </c>
      <c r="C127" s="1">
        <f>15.333*R47</f>
        <v>14.4561547578825</v>
      </c>
      <c r="D127" s="1">
        <f>14.733*R47</f>
        <v>13.890466839358433</v>
      </c>
      <c r="E127" s="3" t="s">
        <v>38</v>
      </c>
    </row>
    <row r="128" spans="1:5" ht="15.75" customHeight="1" x14ac:dyDescent="0.3">
      <c r="A128" s="1" t="s">
        <v>39</v>
      </c>
      <c r="B128" s="1">
        <f>15.358*R47</f>
        <v>14.479725087821002</v>
      </c>
      <c r="C128" s="1">
        <f>14.333*R47</f>
        <v>13.51334156034239</v>
      </c>
      <c r="D128" s="1">
        <f>14.133*R47</f>
        <v>13.324778920834367</v>
      </c>
      <c r="E128" s="3" t="s">
        <v>40</v>
      </c>
    </row>
    <row r="129" spans="1:5" ht="15.75" customHeight="1" x14ac:dyDescent="0.3">
      <c r="A129" s="1" t="s">
        <v>41</v>
      </c>
      <c r="B129" s="1">
        <f>15.1*R47</f>
        <v>14.236479282855653</v>
      </c>
      <c r="C129" s="1">
        <f>15.033*R47</f>
        <v>14.173310798620466</v>
      </c>
      <c r="D129" s="1">
        <f>14.166*R47</f>
        <v>13.355891756353191</v>
      </c>
      <c r="E129" s="3" t="s">
        <v>42</v>
      </c>
    </row>
    <row r="130" spans="1:5" ht="15.75" customHeight="1" x14ac:dyDescent="0.3">
      <c r="A130" s="1" t="s">
        <v>43</v>
      </c>
      <c r="B130" s="6">
        <f>14.9*R47</f>
        <v>14.047916643347632</v>
      </c>
      <c r="C130" s="6">
        <f>14.833*R47</f>
        <v>13.984748159112444</v>
      </c>
      <c r="D130" s="6">
        <f>14.333*R47</f>
        <v>13.51334156034239</v>
      </c>
      <c r="E130" s="8" t="s">
        <v>45</v>
      </c>
    </row>
    <row r="131" spans="1:5" ht="15.75" customHeight="1" x14ac:dyDescent="0.3">
      <c r="A131" s="1" t="s">
        <v>47</v>
      </c>
      <c r="B131" s="7"/>
      <c r="C131" s="7"/>
      <c r="D131" s="7"/>
      <c r="E131" s="7"/>
    </row>
    <row r="132" spans="1:5" ht="15.75" customHeight="1" x14ac:dyDescent="0.3">
      <c r="A132" s="1" t="s">
        <v>48</v>
      </c>
      <c r="B132" s="1">
        <f>15.6*T47</f>
        <v>14.793020199141695</v>
      </c>
      <c r="C132" s="1">
        <f>15.5*T47</f>
        <v>14.698193146583094</v>
      </c>
      <c r="D132" s="1">
        <f>15.066*T47</f>
        <v>14.286643738478769</v>
      </c>
      <c r="E132" s="3" t="s">
        <v>49</v>
      </c>
    </row>
    <row r="133" spans="1:5" ht="15.75" customHeight="1" x14ac:dyDescent="0.3">
      <c r="A133" s="1" t="s">
        <v>50</v>
      </c>
      <c r="B133" s="1">
        <f>15.866*T47</f>
        <v>15.045260158947572</v>
      </c>
      <c r="C133" s="1">
        <f>15.233*T47</f>
        <v>14.445004916251632</v>
      </c>
      <c r="D133" s="1">
        <f>15.133*T47</f>
        <v>14.35017786369303</v>
      </c>
      <c r="E133" s="3" t="s">
        <v>51</v>
      </c>
    </row>
    <row r="134" spans="1:5" ht="15.75" customHeight="1" x14ac:dyDescent="0.3">
      <c r="A134" s="1">
        <v>2010</v>
      </c>
      <c r="B134" s="1">
        <f>15.366*T47</f>
        <v>14.57112489615457</v>
      </c>
      <c r="C134" s="1">
        <f>15.233*T47</f>
        <v>14.445004916251632</v>
      </c>
      <c r="D134" s="1">
        <f>15.2*T47</f>
        <v>14.413711988907291</v>
      </c>
      <c r="E134" s="3" t="s">
        <v>52</v>
      </c>
    </row>
    <row r="135" spans="1:5" ht="15.75" customHeight="1" x14ac:dyDescent="0.3">
      <c r="A135" s="1">
        <v>2009</v>
      </c>
      <c r="B135" s="1">
        <f>15.087*T47</f>
        <v>14.306557419516073</v>
      </c>
      <c r="C135" s="1">
        <f>14.525*T47</f>
        <v>13.77362938413674</v>
      </c>
      <c r="D135" s="1">
        <f>14.45*T47</f>
        <v>13.702509094717788</v>
      </c>
      <c r="E135" s="3" t="s">
        <v>53</v>
      </c>
    </row>
    <row r="136" spans="1:5" ht="15.75" customHeight="1" x14ac:dyDescent="0.3">
      <c r="A136" s="1" t="s">
        <v>54</v>
      </c>
      <c r="B136" s="1">
        <f>16.225*V47</f>
        <v>14.776319657776806</v>
      </c>
      <c r="C136" s="1">
        <f>16.025*V47</f>
        <v>14.594177042580787</v>
      </c>
      <c r="D136" s="1">
        <f>15.95*V47</f>
        <v>14.525873561882282</v>
      </c>
      <c r="E136" s="1" t="s">
        <v>55</v>
      </c>
    </row>
    <row r="137" spans="1:5" ht="15.75" customHeight="1" x14ac:dyDescent="0.3">
      <c r="A137" s="1">
        <v>2007</v>
      </c>
      <c r="B137" s="1">
        <f>16.025*V47</f>
        <v>14.594177042580787</v>
      </c>
      <c r="C137" s="1">
        <f>15.9*V47</f>
        <v>14.48033790808328</v>
      </c>
      <c r="D137" s="1">
        <f>15.9*V47</f>
        <v>14.48033790808328</v>
      </c>
      <c r="E137" s="3" t="s">
        <v>56</v>
      </c>
    </row>
    <row r="138" spans="1:5" ht="15.75" customHeight="1" x14ac:dyDescent="0.3">
      <c r="A138" s="1">
        <v>2006</v>
      </c>
      <c r="B138" s="1">
        <f>15.575*V47</f>
        <v>14.184356158389752</v>
      </c>
      <c r="C138" s="1">
        <f>15.5*V47</f>
        <v>14.116052677691247</v>
      </c>
      <c r="D138" s="1">
        <f>15.475*V47</f>
        <v>14.093284850791745</v>
      </c>
      <c r="E138" s="3" t="s">
        <v>58</v>
      </c>
    </row>
    <row r="139" spans="1:5" ht="15.75" customHeight="1" x14ac:dyDescent="0.3">
      <c r="A139" s="1" t="s">
        <v>59</v>
      </c>
      <c r="B139" s="2">
        <f t="shared" ref="B139:D139" si="65">AVERAGE(B119:B138)</f>
        <v>14.420177063109211</v>
      </c>
      <c r="C139" s="2">
        <f t="shared" si="65"/>
        <v>14.146538446802735</v>
      </c>
      <c r="D139" s="2">
        <f t="shared" si="65"/>
        <v>13.903523152363816</v>
      </c>
    </row>
    <row r="140" spans="1:5" ht="15.75" customHeight="1" x14ac:dyDescent="0.3"/>
    <row r="141" spans="1:5" ht="15.75" customHeight="1" x14ac:dyDescent="0.3"/>
    <row r="142" spans="1:5" ht="15.75" customHeight="1" x14ac:dyDescent="0.3"/>
    <row r="143" spans="1:5" ht="15.75" customHeight="1" x14ac:dyDescent="0.3"/>
    <row r="144" spans="1: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2">
    <mergeCell ref="E125:E126"/>
    <mergeCell ref="B130:B131"/>
    <mergeCell ref="E130:E131"/>
    <mergeCell ref="C130:C131"/>
    <mergeCell ref="D130:D131"/>
    <mergeCell ref="C122:C123"/>
    <mergeCell ref="D122:D123"/>
    <mergeCell ref="B125:B126"/>
    <mergeCell ref="C125:C126"/>
    <mergeCell ref="D125:D126"/>
    <mergeCell ref="D56:D57"/>
    <mergeCell ref="E56:E57"/>
    <mergeCell ref="B38:B39"/>
    <mergeCell ref="B53:B54"/>
    <mergeCell ref="C53:C54"/>
    <mergeCell ref="D53:D54"/>
    <mergeCell ref="E53:E54"/>
    <mergeCell ref="B56:B57"/>
    <mergeCell ref="C56:C57"/>
    <mergeCell ref="B33:B34"/>
    <mergeCell ref="C33:C34"/>
    <mergeCell ref="D33:D34"/>
    <mergeCell ref="E33:E34"/>
    <mergeCell ref="C38:C39"/>
    <mergeCell ref="D38:D39"/>
    <mergeCell ref="E38:E39"/>
    <mergeCell ref="D30:D31"/>
    <mergeCell ref="E30:E31"/>
    <mergeCell ref="B10:B11"/>
    <mergeCell ref="B15:B16"/>
    <mergeCell ref="C15:C16"/>
    <mergeCell ref="D15:D16"/>
    <mergeCell ref="E15:E16"/>
    <mergeCell ref="B30:B31"/>
    <mergeCell ref="C30:C31"/>
    <mergeCell ref="B7:B8"/>
    <mergeCell ref="C7:C8"/>
    <mergeCell ref="D7:D8"/>
    <mergeCell ref="E7:E8"/>
    <mergeCell ref="C10:C11"/>
    <mergeCell ref="D10:D11"/>
    <mergeCell ref="E10:E11"/>
    <mergeCell ref="B107:B108"/>
    <mergeCell ref="C107:C108"/>
    <mergeCell ref="D107:D108"/>
    <mergeCell ref="E107:E108"/>
    <mergeCell ref="B122:B123"/>
    <mergeCell ref="E122:E123"/>
    <mergeCell ref="B99:B100"/>
    <mergeCell ref="C99:C100"/>
    <mergeCell ref="D99:D100"/>
    <mergeCell ref="E99:E100"/>
    <mergeCell ref="B102:B103"/>
    <mergeCell ref="E102:E103"/>
    <mergeCell ref="C102:C103"/>
    <mergeCell ref="D102:D103"/>
    <mergeCell ref="B79:B80"/>
    <mergeCell ref="C79:C80"/>
    <mergeCell ref="D79:D80"/>
    <mergeCell ref="E79:E80"/>
    <mergeCell ref="B84:B85"/>
    <mergeCell ref="C84:C85"/>
    <mergeCell ref="D84:D85"/>
    <mergeCell ref="E84:E85"/>
    <mergeCell ref="B61:B62"/>
    <mergeCell ref="C61:C62"/>
    <mergeCell ref="D61:D62"/>
    <mergeCell ref="E61:E62"/>
    <mergeCell ref="C76:C77"/>
    <mergeCell ref="D76:D77"/>
    <mergeCell ref="E76:E77"/>
    <mergeCell ref="B76:B7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0" r:id="rId14" xr:uid="{00000000-0004-0000-0000-00000D000000}"/>
    <hyperlink ref="E22" r:id="rId15" xr:uid="{00000000-0004-0000-0000-00000E000000}"/>
    <hyperlink ref="E23" r:id="rId16" xr:uid="{00000000-0004-0000-0000-00000F000000}"/>
    <hyperlink ref="E27" r:id="rId17" xr:uid="{00000000-0004-0000-0000-000010000000}"/>
    <hyperlink ref="E28" r:id="rId18" xr:uid="{00000000-0004-0000-0000-000011000000}"/>
    <hyperlink ref="E29" r:id="rId19" xr:uid="{00000000-0004-0000-0000-000012000000}"/>
    <hyperlink ref="E30" r:id="rId20" xr:uid="{00000000-0004-0000-0000-000013000000}"/>
    <hyperlink ref="E32" r:id="rId21" xr:uid="{00000000-0004-0000-0000-000014000000}"/>
    <hyperlink ref="E33" r:id="rId22" xr:uid="{00000000-0004-0000-0000-000015000000}"/>
    <hyperlink ref="E35" r:id="rId23" xr:uid="{00000000-0004-0000-0000-000016000000}"/>
    <hyperlink ref="E36" r:id="rId24" xr:uid="{00000000-0004-0000-0000-000017000000}"/>
    <hyperlink ref="E37" r:id="rId25" xr:uid="{00000000-0004-0000-0000-000018000000}"/>
    <hyperlink ref="E38" r:id="rId26" xr:uid="{00000000-0004-0000-0000-000019000000}"/>
    <hyperlink ref="E40" r:id="rId27" xr:uid="{00000000-0004-0000-0000-00001A000000}"/>
    <hyperlink ref="E41" r:id="rId28" xr:uid="{00000000-0004-0000-0000-00001B000000}"/>
    <hyperlink ref="E42" r:id="rId29" xr:uid="{00000000-0004-0000-0000-00001C000000}"/>
    <hyperlink ref="E43" r:id="rId30" xr:uid="{00000000-0004-0000-0000-00001D000000}"/>
    <hyperlink ref="E45" r:id="rId31" xr:uid="{00000000-0004-0000-0000-00001E000000}"/>
    <hyperlink ref="E46" r:id="rId32" xr:uid="{00000000-0004-0000-0000-00001F000000}"/>
    <hyperlink ref="E50" r:id="rId33" xr:uid="{00000000-0004-0000-0000-000020000000}"/>
    <hyperlink ref="E51" r:id="rId34" xr:uid="{00000000-0004-0000-0000-000021000000}"/>
    <hyperlink ref="E52" r:id="rId35" xr:uid="{00000000-0004-0000-0000-000022000000}"/>
    <hyperlink ref="E53" r:id="rId36" xr:uid="{00000000-0004-0000-0000-000023000000}"/>
    <hyperlink ref="E55" r:id="rId37" xr:uid="{00000000-0004-0000-0000-000024000000}"/>
    <hyperlink ref="E56" r:id="rId38" xr:uid="{00000000-0004-0000-0000-000025000000}"/>
    <hyperlink ref="E58" r:id="rId39" xr:uid="{00000000-0004-0000-0000-000026000000}"/>
    <hyperlink ref="E59" r:id="rId40" xr:uid="{00000000-0004-0000-0000-000027000000}"/>
    <hyperlink ref="E60" r:id="rId41" xr:uid="{00000000-0004-0000-0000-000028000000}"/>
    <hyperlink ref="E61" r:id="rId42" xr:uid="{00000000-0004-0000-0000-000029000000}"/>
    <hyperlink ref="E63" r:id="rId43" xr:uid="{00000000-0004-0000-0000-00002A000000}"/>
    <hyperlink ref="E64" r:id="rId44" xr:uid="{00000000-0004-0000-0000-00002B000000}"/>
    <hyperlink ref="E65" r:id="rId45" xr:uid="{00000000-0004-0000-0000-00002C000000}"/>
    <hyperlink ref="E66" r:id="rId46" xr:uid="{00000000-0004-0000-0000-00002D000000}"/>
    <hyperlink ref="E68" r:id="rId47" xr:uid="{00000000-0004-0000-0000-00002E000000}"/>
    <hyperlink ref="E69" r:id="rId48" xr:uid="{00000000-0004-0000-0000-00002F000000}"/>
    <hyperlink ref="E73" r:id="rId49" xr:uid="{00000000-0004-0000-0000-000030000000}"/>
    <hyperlink ref="E74" r:id="rId50" xr:uid="{00000000-0004-0000-0000-000031000000}"/>
    <hyperlink ref="E75" r:id="rId51" xr:uid="{00000000-0004-0000-0000-000032000000}"/>
    <hyperlink ref="E76" r:id="rId52" xr:uid="{00000000-0004-0000-0000-000033000000}"/>
    <hyperlink ref="E78" r:id="rId53" xr:uid="{00000000-0004-0000-0000-000034000000}"/>
    <hyperlink ref="E79" r:id="rId54" xr:uid="{00000000-0004-0000-0000-000035000000}"/>
    <hyperlink ref="E81" r:id="rId55" xr:uid="{00000000-0004-0000-0000-000036000000}"/>
    <hyperlink ref="E82" r:id="rId56" xr:uid="{00000000-0004-0000-0000-000037000000}"/>
    <hyperlink ref="E83" r:id="rId57" xr:uid="{00000000-0004-0000-0000-000038000000}"/>
    <hyperlink ref="E84" r:id="rId58" xr:uid="{00000000-0004-0000-0000-000039000000}"/>
    <hyperlink ref="E86" r:id="rId59" xr:uid="{00000000-0004-0000-0000-00003A000000}"/>
    <hyperlink ref="E87" r:id="rId60" xr:uid="{00000000-0004-0000-0000-00003B000000}"/>
    <hyperlink ref="E88" r:id="rId61" xr:uid="{00000000-0004-0000-0000-00003C000000}"/>
    <hyperlink ref="E89" r:id="rId62" xr:uid="{00000000-0004-0000-0000-00003D000000}"/>
    <hyperlink ref="E91" r:id="rId63" xr:uid="{00000000-0004-0000-0000-00003E000000}"/>
    <hyperlink ref="E92" r:id="rId64" xr:uid="{00000000-0004-0000-0000-00003F000000}"/>
    <hyperlink ref="E96" r:id="rId65" xr:uid="{00000000-0004-0000-0000-000040000000}"/>
    <hyperlink ref="E97" r:id="rId66" xr:uid="{00000000-0004-0000-0000-000041000000}"/>
    <hyperlink ref="E98" r:id="rId67" xr:uid="{00000000-0004-0000-0000-000042000000}"/>
    <hyperlink ref="E99" r:id="rId68" xr:uid="{00000000-0004-0000-0000-000043000000}"/>
    <hyperlink ref="E101" r:id="rId69" xr:uid="{00000000-0004-0000-0000-000044000000}"/>
    <hyperlink ref="E102" r:id="rId70" xr:uid="{00000000-0004-0000-0000-000045000000}"/>
    <hyperlink ref="E104" r:id="rId71" xr:uid="{00000000-0004-0000-0000-000046000000}"/>
    <hyperlink ref="E105" r:id="rId72" xr:uid="{00000000-0004-0000-0000-000047000000}"/>
    <hyperlink ref="E106" r:id="rId73" xr:uid="{00000000-0004-0000-0000-000048000000}"/>
    <hyperlink ref="E107" r:id="rId74" xr:uid="{00000000-0004-0000-0000-000049000000}"/>
    <hyperlink ref="E109" r:id="rId75" xr:uid="{00000000-0004-0000-0000-00004A000000}"/>
    <hyperlink ref="E110" r:id="rId76" xr:uid="{00000000-0004-0000-0000-00004B000000}"/>
    <hyperlink ref="E111" r:id="rId77" xr:uid="{00000000-0004-0000-0000-00004C000000}"/>
    <hyperlink ref="E112" r:id="rId78" xr:uid="{00000000-0004-0000-0000-00004D000000}"/>
    <hyperlink ref="E114" r:id="rId79" xr:uid="{00000000-0004-0000-0000-00004E000000}"/>
    <hyperlink ref="E115" r:id="rId80" xr:uid="{00000000-0004-0000-0000-00004F000000}"/>
    <hyperlink ref="E119" r:id="rId81" xr:uid="{00000000-0004-0000-0000-000050000000}"/>
    <hyperlink ref="E120" r:id="rId82" xr:uid="{00000000-0004-0000-0000-000051000000}"/>
    <hyperlink ref="E121" r:id="rId83" xr:uid="{00000000-0004-0000-0000-000052000000}"/>
    <hyperlink ref="E122" r:id="rId84" xr:uid="{00000000-0004-0000-0000-000053000000}"/>
    <hyperlink ref="E124" r:id="rId85" xr:uid="{00000000-0004-0000-0000-000054000000}"/>
    <hyperlink ref="E125" r:id="rId86" xr:uid="{00000000-0004-0000-0000-000055000000}"/>
    <hyperlink ref="E127" r:id="rId87" xr:uid="{00000000-0004-0000-0000-000056000000}"/>
    <hyperlink ref="E128" r:id="rId88" xr:uid="{00000000-0004-0000-0000-000057000000}"/>
    <hyperlink ref="E129" r:id="rId89" xr:uid="{00000000-0004-0000-0000-000058000000}"/>
    <hyperlink ref="E130" r:id="rId90" xr:uid="{00000000-0004-0000-0000-000059000000}"/>
    <hyperlink ref="E132" r:id="rId91" xr:uid="{00000000-0004-0000-0000-00005A000000}"/>
    <hyperlink ref="E133" r:id="rId92" xr:uid="{00000000-0004-0000-0000-00005B000000}"/>
    <hyperlink ref="E134" r:id="rId93" xr:uid="{00000000-0004-0000-0000-00005C000000}"/>
    <hyperlink ref="E135" r:id="rId94" xr:uid="{00000000-0004-0000-0000-00005D000000}"/>
    <hyperlink ref="E137" r:id="rId95" xr:uid="{00000000-0004-0000-0000-00005E000000}"/>
    <hyperlink ref="E138" r:id="rId96" xr:uid="{00000000-0004-0000-0000-00005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20" ht="15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M1" s="2" t="s">
        <v>1</v>
      </c>
    </row>
    <row r="2" spans="1:20" ht="15.75" customHeight="1" x14ac:dyDescent="0.3">
      <c r="A2" s="1" t="s">
        <v>17</v>
      </c>
      <c r="B2" s="1">
        <v>255.59399999999999</v>
      </c>
      <c r="C2" s="1">
        <v>253.79400000000001</v>
      </c>
      <c r="D2" s="1">
        <v>252.428</v>
      </c>
      <c r="E2" s="3" t="s">
        <v>18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 ht="15.75" customHeight="1" x14ac:dyDescent="0.3">
      <c r="A3" s="1" t="s">
        <v>20</v>
      </c>
      <c r="B3" s="1">
        <v>257.858</v>
      </c>
      <c r="C3" s="1">
        <v>253.39500000000001</v>
      </c>
      <c r="D3" s="1">
        <v>247.22900000000001</v>
      </c>
      <c r="E3" s="3" t="s">
        <v>21</v>
      </c>
      <c r="M3" s="2" t="s">
        <v>16</v>
      </c>
      <c r="N3" s="2">
        <v>256.726</v>
      </c>
      <c r="O3" s="2">
        <v>253.59450000000001</v>
      </c>
      <c r="P3" s="2">
        <v>249.82850000000002</v>
      </c>
    </row>
    <row r="4" spans="1:20" ht="15.75" customHeight="1" x14ac:dyDescent="0.3">
      <c r="A4" s="1" t="s">
        <v>23</v>
      </c>
      <c r="B4" s="1">
        <f>262.5*M58</f>
        <v>260.4721913244706</v>
      </c>
      <c r="C4" s="1">
        <f>262.397*M58</f>
        <v>260.36998699796993</v>
      </c>
      <c r="D4" s="1">
        <f>261.894*M58</f>
        <v>259.87087266564151</v>
      </c>
      <c r="E4" s="3" t="s">
        <v>24</v>
      </c>
      <c r="M4" s="2" t="s">
        <v>19</v>
      </c>
      <c r="N4" s="2">
        <v>258.02394468343283</v>
      </c>
      <c r="O4" s="2">
        <v>257.64427417599069</v>
      </c>
      <c r="P4" s="2">
        <v>255.69007802193258</v>
      </c>
      <c r="Q4" s="2">
        <v>0.99496967351218013</v>
      </c>
      <c r="R4" s="2">
        <v>0.98428152851856365</v>
      </c>
      <c r="S4" s="2">
        <v>0.97707545765061021</v>
      </c>
      <c r="T4" s="2">
        <f t="shared" ref="T4:T7" si="0">GEOMEAN(Q4:S4)</f>
        <v>0.98541483134263275</v>
      </c>
    </row>
    <row r="5" spans="1:20" ht="15.75" customHeight="1" x14ac:dyDescent="0.3">
      <c r="A5" s="1" t="s">
        <v>26</v>
      </c>
      <c r="B5" s="6">
        <f>261.726*M58</f>
        <v>259.70417046319386</v>
      </c>
      <c r="C5" s="6">
        <f>260.729*M58</f>
        <v>258.71487227366816</v>
      </c>
      <c r="D5" s="6">
        <f>258.159*M58</f>
        <v>256.16472548622477</v>
      </c>
      <c r="E5" s="8" t="s">
        <v>27</v>
      </c>
      <c r="M5" s="2" t="s">
        <v>22</v>
      </c>
      <c r="N5" s="2">
        <v>257.28219911678138</v>
      </c>
      <c r="O5" s="2">
        <v>257.01129462973199</v>
      </c>
      <c r="P5" s="2">
        <v>255.45773067782255</v>
      </c>
      <c r="Q5" s="2">
        <v>0.99783817489631721</v>
      </c>
      <c r="R5" s="2">
        <v>0.9867056635209186</v>
      </c>
      <c r="S5" s="2">
        <v>0.97796414043573421</v>
      </c>
      <c r="T5" s="2">
        <f t="shared" si="0"/>
        <v>0.98746919320759075</v>
      </c>
    </row>
    <row r="6" spans="1:20" ht="15.75" customHeight="1" x14ac:dyDescent="0.3">
      <c r="A6" s="1" t="s">
        <v>29</v>
      </c>
      <c r="B6" s="7"/>
      <c r="C6" s="7"/>
      <c r="D6" s="7"/>
      <c r="E6" s="7"/>
      <c r="M6" s="2" t="s">
        <v>25</v>
      </c>
      <c r="N6" s="2">
        <v>259.80259863689997</v>
      </c>
      <c r="O6" s="2">
        <v>257.49405983171999</v>
      </c>
      <c r="P6" s="2">
        <v>256.62360139108</v>
      </c>
      <c r="Q6" s="2">
        <v>0.98815793739923352</v>
      </c>
      <c r="R6" s="2">
        <v>0.98485572896606444</v>
      </c>
      <c r="S6" s="2">
        <v>0.97352113619228409</v>
      </c>
      <c r="T6" s="2">
        <f t="shared" si="0"/>
        <v>0.98215821755686517</v>
      </c>
    </row>
    <row r="7" spans="1:20" ht="15.75" customHeight="1" x14ac:dyDescent="0.3">
      <c r="A7" s="1" t="s">
        <v>31</v>
      </c>
      <c r="B7" s="1">
        <f>256.634*M58</f>
        <v>254.65150608900643</v>
      </c>
      <c r="C7" s="1">
        <f>256.585*M58</f>
        <v>254.6028846132925</v>
      </c>
      <c r="D7" s="1">
        <f>253.744*M58</f>
        <v>251.78383129690084</v>
      </c>
      <c r="E7" s="3" t="s">
        <v>32</v>
      </c>
      <c r="M7" s="2" t="s">
        <v>28</v>
      </c>
      <c r="N7" s="2">
        <v>261.33718986933332</v>
      </c>
      <c r="O7" s="2">
        <v>256.85694719599996</v>
      </c>
      <c r="P7" s="2">
        <v>254.65544864100002</v>
      </c>
      <c r="Q7" s="2">
        <v>0.98235540119016784</v>
      </c>
      <c r="R7" s="2">
        <v>0.98729858299876749</v>
      </c>
      <c r="S7" s="2">
        <v>0.98104517823294335</v>
      </c>
      <c r="T7" s="2">
        <f t="shared" si="0"/>
        <v>0.98356270543510738</v>
      </c>
    </row>
    <row r="8" spans="1:20" ht="15.75" customHeight="1" x14ac:dyDescent="0.3">
      <c r="A8" s="1" t="s">
        <v>33</v>
      </c>
      <c r="B8" s="6" t="s">
        <v>34</v>
      </c>
      <c r="C8" s="6" t="s">
        <v>34</v>
      </c>
      <c r="D8" s="6" t="s">
        <v>34</v>
      </c>
      <c r="E8" s="8" t="s">
        <v>35</v>
      </c>
      <c r="M8" s="2" t="s">
        <v>71</v>
      </c>
    </row>
    <row r="9" spans="1:20" ht="15.75" customHeight="1" x14ac:dyDescent="0.3">
      <c r="A9" s="1" t="s">
        <v>36</v>
      </c>
      <c r="B9" s="7"/>
      <c r="C9" s="7"/>
      <c r="D9" s="7"/>
      <c r="E9" s="7"/>
      <c r="M9" s="2" t="s">
        <v>3</v>
      </c>
      <c r="N9" s="2" t="s">
        <v>4</v>
      </c>
      <c r="O9" s="2" t="s">
        <v>5</v>
      </c>
      <c r="P9" s="2" t="s">
        <v>6</v>
      </c>
      <c r="Q9" s="2" t="s">
        <v>7</v>
      </c>
      <c r="R9" s="2" t="s">
        <v>8</v>
      </c>
      <c r="S9" s="2" t="s">
        <v>9</v>
      </c>
      <c r="T9" s="2" t="s">
        <v>10</v>
      </c>
    </row>
    <row r="10" spans="1:20" ht="15.75" customHeight="1" x14ac:dyDescent="0.3">
      <c r="A10" s="1" t="s">
        <v>37</v>
      </c>
      <c r="B10" s="1" t="s">
        <v>72</v>
      </c>
      <c r="C10" s="1" t="s">
        <v>73</v>
      </c>
      <c r="D10" s="1" t="s">
        <v>73</v>
      </c>
      <c r="E10" s="3" t="s">
        <v>38</v>
      </c>
      <c r="M10" s="2" t="s">
        <v>16</v>
      </c>
      <c r="N10" s="2">
        <v>86.664999999999992</v>
      </c>
      <c r="O10" s="2">
        <v>85.881500000000003</v>
      </c>
      <c r="P10" s="2">
        <v>84.781499999999994</v>
      </c>
    </row>
    <row r="11" spans="1:20" ht="15.75" customHeight="1" x14ac:dyDescent="0.3">
      <c r="A11" s="1" t="s">
        <v>39</v>
      </c>
      <c r="B11" s="1">
        <f>270.818*O58</f>
        <v>257.75266632252993</v>
      </c>
      <c r="C11" s="1">
        <f>270.345*O58</f>
        <v>257.30248571721364</v>
      </c>
      <c r="D11" s="1">
        <f>269.959*O58</f>
        <v>256.93510788708232</v>
      </c>
      <c r="E11" s="3" t="s">
        <v>40</v>
      </c>
      <c r="M11" s="2" t="s">
        <v>19</v>
      </c>
      <c r="N11" s="2">
        <v>87.942000000000007</v>
      </c>
      <c r="O11" s="2">
        <v>87.319000000000003</v>
      </c>
      <c r="P11" s="2">
        <v>86.941500000000005</v>
      </c>
      <c r="Q11" s="2">
        <v>0.98547906574787913</v>
      </c>
      <c r="R11" s="2">
        <v>0.98353737445458611</v>
      </c>
      <c r="S11" s="2">
        <v>0.97515570814858255</v>
      </c>
      <c r="T11" s="2">
        <f t="shared" ref="T11:T14" si="1">GEOMEAN(Q11:S11)</f>
        <v>0.98138047381269777</v>
      </c>
    </row>
    <row r="12" spans="1:20" ht="15.75" customHeight="1" x14ac:dyDescent="0.3">
      <c r="A12" s="1" t="s">
        <v>41</v>
      </c>
      <c r="B12" s="1">
        <f>273.369*O58</f>
        <v>260.18059597192098</v>
      </c>
      <c r="C12" s="1">
        <f>273.269*O58</f>
        <v>260.08542036826003</v>
      </c>
      <c r="D12" s="1">
        <f>270.369*O58</f>
        <v>257.32532786209231</v>
      </c>
      <c r="E12" s="3" t="s">
        <v>42</v>
      </c>
      <c r="M12" s="2" t="s">
        <v>22</v>
      </c>
      <c r="N12" s="2">
        <v>92.163000000000011</v>
      </c>
      <c r="O12" s="2">
        <v>90.867249999999999</v>
      </c>
      <c r="P12" s="2">
        <v>90.130250000000004</v>
      </c>
      <c r="Q12" s="2">
        <v>0.94034482384470974</v>
      </c>
      <c r="R12" s="2">
        <v>0.94513149677138908</v>
      </c>
      <c r="S12" s="2">
        <v>0.94065532937054974</v>
      </c>
      <c r="T12" s="2">
        <f t="shared" si="1"/>
        <v>0.94204134756317237</v>
      </c>
    </row>
    <row r="13" spans="1:20" ht="15.75" customHeight="1" x14ac:dyDescent="0.3">
      <c r="A13" s="1" t="s">
        <v>43</v>
      </c>
      <c r="B13" s="6" t="s">
        <v>44</v>
      </c>
      <c r="C13" s="6" t="s">
        <v>44</v>
      </c>
      <c r="D13" s="6" t="s">
        <v>44</v>
      </c>
      <c r="E13" s="8" t="s">
        <v>45</v>
      </c>
      <c r="M13" s="2" t="s">
        <v>25</v>
      </c>
      <c r="N13" s="2">
        <v>92.453000000000003</v>
      </c>
      <c r="O13" s="2">
        <v>90.133500000000012</v>
      </c>
      <c r="P13" s="2">
        <v>89.804249999999996</v>
      </c>
      <c r="Q13" s="2">
        <v>0.93739521702919315</v>
      </c>
      <c r="R13" s="2">
        <v>0.95282553101787892</v>
      </c>
      <c r="S13" s="2">
        <v>0.9440700189579001</v>
      </c>
      <c r="T13" s="2">
        <f t="shared" si="1"/>
        <v>0.94474247537569622</v>
      </c>
    </row>
    <row r="14" spans="1:20" ht="15.75" customHeight="1" x14ac:dyDescent="0.3">
      <c r="A14" s="1" t="s">
        <v>47</v>
      </c>
      <c r="B14" s="7"/>
      <c r="C14" s="7"/>
      <c r="D14" s="7"/>
      <c r="E14" s="7"/>
      <c r="M14" s="2" t="s">
        <v>28</v>
      </c>
      <c r="N14" s="2">
        <v>94.55</v>
      </c>
      <c r="O14" s="2">
        <v>92.45</v>
      </c>
      <c r="P14" s="2">
        <v>92.09999999999998</v>
      </c>
      <c r="Q14" s="2">
        <v>0.91660497091485982</v>
      </c>
      <c r="R14" s="2">
        <v>0.92895078420767985</v>
      </c>
      <c r="S14" s="2">
        <v>0.9205374592833877</v>
      </c>
      <c r="T14" s="2">
        <f t="shared" si="1"/>
        <v>0.92201671268646224</v>
      </c>
    </row>
    <row r="15" spans="1:20" ht="15.75" customHeight="1" x14ac:dyDescent="0.3">
      <c r="A15" s="1" t="s">
        <v>48</v>
      </c>
      <c r="B15" s="1">
        <f>275.997*Q58</f>
        <v>262.6361543212858</v>
      </c>
      <c r="C15" s="1">
        <f>271.952*Q58</f>
        <v>258.78697029309126</v>
      </c>
      <c r="D15" s="1">
        <f>271.711*Q58</f>
        <v>258.55763695544113</v>
      </c>
      <c r="E15" s="3" t="s">
        <v>49</v>
      </c>
      <c r="M15" s="2" t="s">
        <v>46</v>
      </c>
    </row>
    <row r="16" spans="1:20" ht="15.75" customHeight="1" x14ac:dyDescent="0.3">
      <c r="A16" s="1" t="s">
        <v>50</v>
      </c>
      <c r="B16" s="1">
        <f>275.161*Q58</f>
        <v>261.84062456910516</v>
      </c>
      <c r="C16" s="1">
        <f>273.093*Q58</f>
        <v>259.87273518213203</v>
      </c>
      <c r="D16" s="1">
        <f>273.083*Q58</f>
        <v>259.86321927600551</v>
      </c>
      <c r="E16" s="3" t="s">
        <v>51</v>
      </c>
      <c r="M16" s="2" t="s">
        <v>3</v>
      </c>
      <c r="N16" s="2" t="s">
        <v>4</v>
      </c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spans="1:20" ht="15.75" customHeight="1" x14ac:dyDescent="0.3">
      <c r="A17" s="1">
        <v>2010</v>
      </c>
      <c r="B17" s="1">
        <f>274.997*Q58</f>
        <v>261.68456370862953</v>
      </c>
      <c r="C17" s="1">
        <f>273.769*Q58</f>
        <v>260.51601043628767</v>
      </c>
      <c r="D17" s="1">
        <f>271.252*Q58</f>
        <v>258.12085686423188</v>
      </c>
      <c r="E17" s="3" t="s">
        <v>52</v>
      </c>
      <c r="M17" s="2" t="s">
        <v>16</v>
      </c>
      <c r="N17" s="2">
        <v>14.6995</v>
      </c>
      <c r="O17" s="2">
        <v>14.583</v>
      </c>
      <c r="P17" s="2">
        <v>14.433</v>
      </c>
    </row>
    <row r="18" spans="1:20" ht="15.75" customHeight="1" x14ac:dyDescent="0.3">
      <c r="A18" s="1">
        <v>2009</v>
      </c>
      <c r="B18" s="1" t="s">
        <v>44</v>
      </c>
      <c r="C18" s="1" t="s">
        <v>44</v>
      </c>
      <c r="D18" s="1" t="s">
        <v>44</v>
      </c>
      <c r="E18" s="3" t="s">
        <v>53</v>
      </c>
      <c r="M18" s="2" t="s">
        <v>19</v>
      </c>
      <c r="N18" s="2">
        <v>15.191500000000001</v>
      </c>
      <c r="O18" s="2">
        <v>14.882999999999999</v>
      </c>
      <c r="P18" s="2">
        <v>14.69975</v>
      </c>
      <c r="Q18" s="2">
        <v>0.96761346805779547</v>
      </c>
      <c r="R18" s="2">
        <v>0.97984277363434802</v>
      </c>
      <c r="S18" s="2">
        <v>0.98185343288151161</v>
      </c>
      <c r="T18" s="2">
        <f t="shared" ref="T18:T21" si="2">GEOMEAN(Q18:S18)</f>
        <v>0.97641622444434073</v>
      </c>
    </row>
    <row r="19" spans="1:20" ht="15.75" customHeight="1" x14ac:dyDescent="0.3">
      <c r="A19" s="1" t="s">
        <v>54</v>
      </c>
      <c r="B19" s="1">
        <f>286.125*S58</f>
        <v>267.69560932013906</v>
      </c>
      <c r="C19" s="1">
        <f>278.875*S58</f>
        <v>260.91258383277858</v>
      </c>
      <c r="D19" s="1">
        <f>275.85*S58</f>
        <v>258.08242492253515</v>
      </c>
      <c r="E19" s="1" t="s">
        <v>55</v>
      </c>
      <c r="M19" s="2" t="s">
        <v>22</v>
      </c>
      <c r="N19" s="2">
        <v>15.904</v>
      </c>
      <c r="O19" s="2">
        <v>15.608000000000001</v>
      </c>
      <c r="P19" s="2">
        <v>15.45825</v>
      </c>
      <c r="Q19" s="2">
        <v>0.92426433601609659</v>
      </c>
      <c r="R19" s="2">
        <v>0.93432854946181443</v>
      </c>
      <c r="S19" s="2">
        <v>0.93367619232448695</v>
      </c>
      <c r="T19" s="2">
        <f t="shared" si="2"/>
        <v>0.93074497450996463</v>
      </c>
    </row>
    <row r="20" spans="1:20" ht="15.75" customHeight="1" x14ac:dyDescent="0.3">
      <c r="A20" s="1">
        <v>2007</v>
      </c>
      <c r="B20" s="1">
        <f>281.9*S58</f>
        <v>263.74274274302206</v>
      </c>
      <c r="C20" s="1">
        <f>277.025*S58</f>
        <v>259.1817428463487</v>
      </c>
      <c r="D20" s="1">
        <f>273.525*S58</f>
        <v>255.90717881796778</v>
      </c>
      <c r="E20" s="3" t="s">
        <v>56</v>
      </c>
      <c r="M20" s="2" t="s">
        <v>25</v>
      </c>
      <c r="N20" s="2">
        <v>15.741499999999998</v>
      </c>
      <c r="O20" s="2">
        <v>15.626999999999999</v>
      </c>
      <c r="P20" s="2">
        <v>15.551749999999998</v>
      </c>
      <c r="Q20" s="2">
        <v>0.93380554585014142</v>
      </c>
      <c r="R20" s="2">
        <v>0.93319255135342682</v>
      </c>
      <c r="S20" s="2">
        <v>0.92806275821049089</v>
      </c>
      <c r="T20" s="2">
        <f t="shared" si="2"/>
        <v>0.93168338928083871</v>
      </c>
    </row>
    <row r="21" spans="1:20" ht="15.75" customHeight="1" x14ac:dyDescent="0.3">
      <c r="A21" s="1">
        <v>2006</v>
      </c>
      <c r="B21" s="1">
        <f>277.775*S58</f>
        <v>259.88343513814459</v>
      </c>
      <c r="C21" s="1">
        <f>275.4*S58</f>
        <v>257.66140954745754</v>
      </c>
      <c r="D21" s="1">
        <f>274.8*S58</f>
        <v>257.10005571402087</v>
      </c>
      <c r="E21" s="3" t="s">
        <v>58</v>
      </c>
      <c r="M21" s="2" t="s">
        <v>28</v>
      </c>
      <c r="N21" s="2">
        <v>16.150000000000002</v>
      </c>
      <c r="O21" s="2">
        <v>15.958333333333334</v>
      </c>
      <c r="P21" s="2">
        <v>15.691666666666668</v>
      </c>
      <c r="Q21" s="2">
        <v>0.9101857585139318</v>
      </c>
      <c r="R21" s="2">
        <v>0.91381723237597912</v>
      </c>
      <c r="S21" s="2">
        <v>0.91978757302177372</v>
      </c>
      <c r="T21" s="2">
        <f t="shared" si="2"/>
        <v>0.91458829521180474</v>
      </c>
    </row>
    <row r="22" spans="1:20" ht="15.75" customHeight="1" x14ac:dyDescent="0.3">
      <c r="A22" s="1" t="s">
        <v>59</v>
      </c>
      <c r="B22" s="2">
        <f t="shared" ref="B22:D22" si="3">AVERAGE(B2:B21)</f>
        <v>260.28432769011135</v>
      </c>
      <c r="C22" s="2">
        <f t="shared" si="3"/>
        <v>258.09200785449997</v>
      </c>
      <c r="D22" s="2">
        <f t="shared" si="3"/>
        <v>256.10524905754954</v>
      </c>
      <c r="M22" s="2" t="s">
        <v>74</v>
      </c>
    </row>
    <row r="23" spans="1:20" ht="15.75" customHeight="1" x14ac:dyDescent="0.3">
      <c r="A23" s="1" t="s">
        <v>71</v>
      </c>
      <c r="M23" s="2" t="s">
        <v>3</v>
      </c>
      <c r="N23" s="2" t="s">
        <v>4</v>
      </c>
      <c r="O23" s="2" t="s">
        <v>5</v>
      </c>
      <c r="P23" s="2" t="s">
        <v>6</v>
      </c>
      <c r="Q23" s="2" t="s">
        <v>7</v>
      </c>
      <c r="R23" s="2" t="s">
        <v>8</v>
      </c>
      <c r="S23" s="2" t="s">
        <v>9</v>
      </c>
      <c r="T23" s="2" t="s">
        <v>10</v>
      </c>
    </row>
    <row r="24" spans="1:20" ht="15.75" customHeight="1" x14ac:dyDescent="0.3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M24" s="2" t="s">
        <v>16</v>
      </c>
      <c r="N24" s="2">
        <v>15.441500000000001</v>
      </c>
      <c r="O24" s="2">
        <v>15.132999999999999</v>
      </c>
      <c r="P24" s="2">
        <v>14.816500000000001</v>
      </c>
    </row>
    <row r="25" spans="1:20" ht="15.75" customHeight="1" x14ac:dyDescent="0.3">
      <c r="A25" s="1" t="s">
        <v>17</v>
      </c>
      <c r="B25" s="1">
        <v>86.132000000000005</v>
      </c>
      <c r="C25" s="1">
        <v>84.998000000000005</v>
      </c>
      <c r="D25" s="1">
        <v>84.331999999999994</v>
      </c>
      <c r="E25" s="3" t="s">
        <v>18</v>
      </c>
      <c r="M25" s="2" t="s">
        <v>19</v>
      </c>
      <c r="N25" s="2">
        <v>15.51825</v>
      </c>
      <c r="O25" s="2">
        <v>15.382999999999999</v>
      </c>
      <c r="P25" s="2">
        <v>15.283000000000001</v>
      </c>
      <c r="Q25" s="2">
        <v>0.99505421036521524</v>
      </c>
      <c r="R25" s="2">
        <v>0.98374829357082494</v>
      </c>
      <c r="S25" s="2">
        <v>0.96947588824183739</v>
      </c>
      <c r="T25" s="2">
        <f t="shared" ref="T25:T28" si="4">GEOMEAN(Q25:S25)</f>
        <v>0.98270367908267708</v>
      </c>
    </row>
    <row r="26" spans="1:20" ht="15.75" customHeight="1" x14ac:dyDescent="0.3">
      <c r="A26" s="1" t="s">
        <v>20</v>
      </c>
      <c r="B26" s="1">
        <v>87.197999999999993</v>
      </c>
      <c r="C26" s="1">
        <v>86.765000000000001</v>
      </c>
      <c r="D26" s="1">
        <v>85.230999999999995</v>
      </c>
      <c r="E26" s="3" t="s">
        <v>21</v>
      </c>
      <c r="M26" s="2" t="s">
        <v>22</v>
      </c>
      <c r="N26" s="2">
        <v>16.016249999999999</v>
      </c>
      <c r="O26" s="2">
        <v>15.87875</v>
      </c>
      <c r="P26" s="2">
        <v>15.575000000000001</v>
      </c>
      <c r="Q26" s="2">
        <v>0.96411457113868737</v>
      </c>
      <c r="R26" s="2">
        <v>0.95303471620876956</v>
      </c>
      <c r="S26" s="2">
        <v>0.95130016051364363</v>
      </c>
      <c r="T26" s="2">
        <f t="shared" si="4"/>
        <v>0.95613301064833145</v>
      </c>
    </row>
    <row r="27" spans="1:20" ht="15.75" customHeight="1" x14ac:dyDescent="0.3">
      <c r="A27" s="1" t="s">
        <v>23</v>
      </c>
      <c r="B27" s="1">
        <f>88.465*M58</f>
        <v>87.781609163883019</v>
      </c>
      <c r="C27" s="1">
        <f>88.065*M58</f>
        <v>87.384699158055255</v>
      </c>
      <c r="D27" s="1">
        <f>88.031*M58</f>
        <v>87.350961807559898</v>
      </c>
      <c r="E27" s="3" t="s">
        <v>24</v>
      </c>
      <c r="M27" s="2" t="s">
        <v>25</v>
      </c>
      <c r="N27" s="2">
        <v>15.93525</v>
      </c>
      <c r="O27" s="2">
        <v>15.69975</v>
      </c>
      <c r="P27" s="2">
        <v>15.439250000000001</v>
      </c>
      <c r="Q27" s="2">
        <v>0.9690152335231641</v>
      </c>
      <c r="R27" s="2">
        <v>0.9639006990557174</v>
      </c>
      <c r="S27" s="2">
        <v>0.9596644914746506</v>
      </c>
      <c r="T27" s="2">
        <f t="shared" si="4"/>
        <v>0.96418589773920926</v>
      </c>
    </row>
    <row r="28" spans="1:20" ht="15.75" customHeight="1" x14ac:dyDescent="0.3">
      <c r="A28" s="1" t="s">
        <v>26</v>
      </c>
      <c r="B28" s="6">
        <f>88.772*M58</f>
        <v>88.086237593355833</v>
      </c>
      <c r="C28" s="6">
        <f>87.165*M58</f>
        <v>86.491651644942792</v>
      </c>
      <c r="D28" s="6">
        <f>86.973*M58</f>
        <v>86.301134842145458</v>
      </c>
      <c r="E28" s="8" t="s">
        <v>27</v>
      </c>
      <c r="M28" s="2" t="s">
        <v>28</v>
      </c>
      <c r="N28" s="2">
        <v>16.162500000000001</v>
      </c>
      <c r="O28" s="2">
        <v>15.725</v>
      </c>
      <c r="P28" s="2">
        <v>15.55</v>
      </c>
      <c r="Q28" s="2">
        <v>0.95539056457849958</v>
      </c>
      <c r="R28" s="2">
        <v>0.96235294117647052</v>
      </c>
      <c r="S28" s="2">
        <v>0.95282958199356915</v>
      </c>
      <c r="T28" s="2">
        <f t="shared" si="4"/>
        <v>0.95684924665471227</v>
      </c>
    </row>
    <row r="29" spans="1:20" ht="15.75" customHeight="1" x14ac:dyDescent="0.3">
      <c r="A29" s="1" t="s">
        <v>29</v>
      </c>
      <c r="B29" s="7"/>
      <c r="C29" s="7"/>
      <c r="D29" s="7"/>
      <c r="E29" s="7"/>
      <c r="M29" s="2" t="s">
        <v>75</v>
      </c>
    </row>
    <row r="30" spans="1:20" ht="15.75" customHeight="1" x14ac:dyDescent="0.3">
      <c r="A30" s="1" t="s">
        <v>31</v>
      </c>
      <c r="B30" s="1">
        <f>87.598*M58</f>
        <v>86.921306726251331</v>
      </c>
      <c r="C30" s="1">
        <f>87.598*M58</f>
        <v>86.921306726251331</v>
      </c>
      <c r="D30" s="1">
        <f>86.331*M58</f>
        <v>85.664094282791893</v>
      </c>
      <c r="E30" s="3" t="s">
        <v>32</v>
      </c>
      <c r="M30" s="2" t="s">
        <v>3</v>
      </c>
      <c r="N30" s="2" t="s">
        <v>4</v>
      </c>
      <c r="O30" s="2" t="s">
        <v>5</v>
      </c>
      <c r="P30" s="2" t="s">
        <v>6</v>
      </c>
      <c r="Q30" s="2" t="s">
        <v>7</v>
      </c>
      <c r="R30" s="2" t="s">
        <v>8</v>
      </c>
      <c r="S30" s="2" t="s">
        <v>9</v>
      </c>
      <c r="T30" s="2" t="s">
        <v>10</v>
      </c>
    </row>
    <row r="31" spans="1:20" ht="15.75" customHeight="1" x14ac:dyDescent="0.3">
      <c r="A31" s="1" t="s">
        <v>33</v>
      </c>
      <c r="B31" s="6">
        <f>86.933*M58</f>
        <v>86.261443841562681</v>
      </c>
      <c r="C31" s="6">
        <f>86.448*M58</f>
        <v>85.780190459496509</v>
      </c>
      <c r="D31" s="6">
        <f>86.431*M58</f>
        <v>85.763321784248831</v>
      </c>
      <c r="E31" s="8" t="s">
        <v>35</v>
      </c>
      <c r="M31" s="2" t="s">
        <v>16</v>
      </c>
      <c r="N31" s="2">
        <v>15.6995</v>
      </c>
      <c r="O31" s="2">
        <v>15.283000000000001</v>
      </c>
      <c r="P31" s="2">
        <v>15.099499999999999</v>
      </c>
    </row>
    <row r="32" spans="1:20" ht="15.75" customHeight="1" x14ac:dyDescent="0.3">
      <c r="A32" s="1" t="s">
        <v>36</v>
      </c>
      <c r="B32" s="7"/>
      <c r="C32" s="7"/>
      <c r="D32" s="7"/>
      <c r="E32" s="7"/>
      <c r="M32" s="2" t="s">
        <v>19</v>
      </c>
      <c r="N32" s="2">
        <v>15.308</v>
      </c>
      <c r="O32" s="2">
        <v>15.158250000000001</v>
      </c>
      <c r="P32" s="2">
        <v>15.041499999999999</v>
      </c>
      <c r="Q32" s="2">
        <v>1.0255748628168277</v>
      </c>
      <c r="R32" s="2">
        <v>1.0082298418353042</v>
      </c>
      <c r="S32" s="2">
        <v>1.0038559984044144</v>
      </c>
      <c r="T32" s="2">
        <f t="shared" ref="T32:T35" si="5">GEOMEAN(Q32:S32)</f>
        <v>1.0125102875935528</v>
      </c>
    </row>
    <row r="33" spans="1:20" ht="15.75" customHeight="1" x14ac:dyDescent="0.3">
      <c r="A33" s="1" t="s">
        <v>37</v>
      </c>
      <c r="B33" s="1">
        <f>92.365*O58</f>
        <v>87.908946321442727</v>
      </c>
      <c r="C33" s="1">
        <f>92.266*O58</f>
        <v>87.814722473818392</v>
      </c>
      <c r="D33" s="1">
        <f>90.641*O58</f>
        <v>86.268118914327843</v>
      </c>
      <c r="E33" s="3" t="s">
        <v>38</v>
      </c>
      <c r="M33" s="2" t="s">
        <v>22</v>
      </c>
      <c r="N33" s="2">
        <v>15.976749999999999</v>
      </c>
      <c r="O33" s="2">
        <v>15.84975</v>
      </c>
      <c r="P33" s="2">
        <v>15.66225</v>
      </c>
      <c r="Q33" s="2">
        <v>0.98264665842552468</v>
      </c>
      <c r="R33" s="2">
        <v>0.96424233820722727</v>
      </c>
      <c r="S33" s="2">
        <v>0.96406965793548172</v>
      </c>
      <c r="T33" s="2">
        <f t="shared" si="5"/>
        <v>0.97028056173518307</v>
      </c>
    </row>
    <row r="34" spans="1:20" ht="15.75" customHeight="1" x14ac:dyDescent="0.3">
      <c r="A34" s="1" t="s">
        <v>39</v>
      </c>
      <c r="B34" s="1">
        <f>92.332*O58</f>
        <v>87.877538372234611</v>
      </c>
      <c r="C34" s="1">
        <f>90.698*O58</f>
        <v>86.322369008414583</v>
      </c>
      <c r="D34" s="1">
        <f>90.099*O58</f>
        <v>85.752267142485465</v>
      </c>
      <c r="E34" s="3" t="s">
        <v>40</v>
      </c>
      <c r="M34" s="2" t="s">
        <v>25</v>
      </c>
      <c r="N34" s="2">
        <v>15.835249999999998</v>
      </c>
      <c r="O34" s="2">
        <v>15.668749999999999</v>
      </c>
      <c r="P34" s="2">
        <v>15.570499999999999</v>
      </c>
      <c r="Q34" s="2">
        <v>0.99142735353088851</v>
      </c>
      <c r="R34" s="2">
        <v>0.97538093338651788</v>
      </c>
      <c r="S34" s="2">
        <v>0.96975048970810185</v>
      </c>
      <c r="T34" s="2">
        <f t="shared" si="5"/>
        <v>0.97880997996724728</v>
      </c>
    </row>
    <row r="35" spans="1:20" ht="15.75" customHeight="1" x14ac:dyDescent="0.3">
      <c r="A35" s="1" t="s">
        <v>41</v>
      </c>
      <c r="B35" s="1">
        <f>91.965*O58</f>
        <v>87.528243906798906</v>
      </c>
      <c r="C35" s="1">
        <f>90.473*O58</f>
        <v>86.108223900177435</v>
      </c>
      <c r="D35" s="1">
        <f>90.449*O58</f>
        <v>86.085381755298798</v>
      </c>
      <c r="E35" s="3" t="s">
        <v>42</v>
      </c>
      <c r="M35" s="2" t="s">
        <v>28</v>
      </c>
      <c r="N35" s="2">
        <v>16.608333333333331</v>
      </c>
      <c r="O35" s="2">
        <v>16.458333333333332</v>
      </c>
      <c r="P35" s="2">
        <v>16.400000000000002</v>
      </c>
      <c r="Q35" s="2">
        <v>0.94527847466131476</v>
      </c>
      <c r="R35" s="2">
        <v>0.92858734177215208</v>
      </c>
      <c r="S35" s="2">
        <v>0.92070121951219497</v>
      </c>
      <c r="T35" s="2">
        <f t="shared" si="5"/>
        <v>0.93146616075860944</v>
      </c>
    </row>
    <row r="36" spans="1:20" ht="15.75" customHeight="1" x14ac:dyDescent="0.3">
      <c r="A36" s="1" t="s">
        <v>43</v>
      </c>
      <c r="B36" s="6">
        <f>91.99*O58</f>
        <v>87.552037807714143</v>
      </c>
      <c r="C36" s="6">
        <f>90.032*O58</f>
        <v>85.688499488032605</v>
      </c>
      <c r="D36" s="6">
        <f>89.332*O58</f>
        <v>85.022270262405911</v>
      </c>
      <c r="E36" s="8" t="s">
        <v>45</v>
      </c>
      <c r="M36" s="2" t="s">
        <v>61</v>
      </c>
    </row>
    <row r="37" spans="1:20" ht="15.75" customHeight="1" x14ac:dyDescent="0.3">
      <c r="A37" s="1" t="s">
        <v>47</v>
      </c>
      <c r="B37" s="7"/>
      <c r="C37" s="7"/>
      <c r="D37" s="7"/>
      <c r="E37" s="7"/>
      <c r="M37" s="2" t="s">
        <v>3</v>
      </c>
      <c r="N37" s="2" t="s">
        <v>4</v>
      </c>
      <c r="O37" s="2" t="s">
        <v>5</v>
      </c>
      <c r="P37" s="2" t="s">
        <v>6</v>
      </c>
      <c r="Q37" s="2" t="s">
        <v>7</v>
      </c>
      <c r="R37" s="2" t="s">
        <v>8</v>
      </c>
      <c r="S37" s="2" t="s">
        <v>9</v>
      </c>
      <c r="T37" s="2" t="s">
        <v>10</v>
      </c>
    </row>
    <row r="38" spans="1:20" ht="15.75" customHeight="1" x14ac:dyDescent="0.3">
      <c r="A38" s="1" t="s">
        <v>48</v>
      </c>
      <c r="B38" s="1">
        <f>92.69*Q58</f>
        <v>88.202933887107392</v>
      </c>
      <c r="C38" s="1">
        <f>91.031*Q58</f>
        <v>86.624245060710692</v>
      </c>
      <c r="D38" s="1">
        <f>90.698*Q58</f>
        <v>86.307365386696148</v>
      </c>
      <c r="E38" s="3" t="s">
        <v>49</v>
      </c>
      <c r="M38" s="2" t="s">
        <v>16</v>
      </c>
      <c r="N38" s="2">
        <v>15.05</v>
      </c>
      <c r="O38" s="2">
        <v>14.8995</v>
      </c>
      <c r="P38" s="2">
        <v>14.749500000000001</v>
      </c>
    </row>
    <row r="39" spans="1:20" ht="15.75" customHeight="1" x14ac:dyDescent="0.3">
      <c r="A39" s="1" t="s">
        <v>50</v>
      </c>
      <c r="B39" s="1">
        <f>93.311*Q58</f>
        <v>88.793871657566925</v>
      </c>
      <c r="C39" s="1">
        <f>90.53*Q58</f>
        <v>86.147498163769896</v>
      </c>
      <c r="D39" s="1">
        <f>90.255*Q58</f>
        <v>85.885810745289433</v>
      </c>
      <c r="E39" s="3" t="s">
        <v>51</v>
      </c>
      <c r="M39" s="2" t="s">
        <v>19</v>
      </c>
      <c r="N39" s="2">
        <v>14.8955</v>
      </c>
      <c r="O39" s="2">
        <v>14.874500000000001</v>
      </c>
      <c r="P39" s="2">
        <v>14.730749999999999</v>
      </c>
      <c r="Q39" s="2">
        <v>1.0103722600785472</v>
      </c>
      <c r="R39" s="2">
        <v>1.0016807287639919</v>
      </c>
      <c r="S39" s="2">
        <v>1.0012728476146837</v>
      </c>
      <c r="T39" s="2">
        <f t="shared" ref="T39:T42" si="6">GEOMEAN(Q39:S39)</f>
        <v>1.0044331954759069</v>
      </c>
    </row>
    <row r="40" spans="1:20" ht="15.75" customHeight="1" x14ac:dyDescent="0.3">
      <c r="A40" s="1">
        <v>2010</v>
      </c>
      <c r="B40" s="1">
        <f>92.311*Q58</f>
        <v>87.842281044910678</v>
      </c>
      <c r="C40" s="1">
        <f>90.048*Q58</f>
        <v>85.688831488469589</v>
      </c>
      <c r="D40" s="1">
        <f>89.864*Q58</f>
        <v>85.513738815740851</v>
      </c>
      <c r="E40" s="3" t="s">
        <v>52</v>
      </c>
      <c r="M40" s="2" t="s">
        <v>22</v>
      </c>
      <c r="N40" s="2">
        <v>15.61</v>
      </c>
      <c r="O40" s="2">
        <v>15.457000000000001</v>
      </c>
      <c r="P40" s="2">
        <v>15.395250000000001</v>
      </c>
      <c r="Q40" s="2">
        <v>0.96412556053811671</v>
      </c>
      <c r="R40" s="2">
        <v>0.96393219900368754</v>
      </c>
      <c r="S40" s="2">
        <v>0.9580552443123691</v>
      </c>
      <c r="T40" s="2">
        <f t="shared" si="6"/>
        <v>0.96203353763970245</v>
      </c>
    </row>
    <row r="41" spans="1:20" ht="15.75" customHeight="1" x14ac:dyDescent="0.3">
      <c r="A41" s="1">
        <v>2009</v>
      </c>
      <c r="B41" s="1">
        <f>91.5*Q58</f>
        <v>87.070541058046459</v>
      </c>
      <c r="C41" s="1">
        <f>88.925*Q58</f>
        <v>84.62019523045663</v>
      </c>
      <c r="D41" s="1">
        <f>88.4*Q58</f>
        <v>84.120610158812099</v>
      </c>
      <c r="E41" s="3" t="s">
        <v>53</v>
      </c>
      <c r="M41" s="2" t="s">
        <v>25</v>
      </c>
      <c r="N41" s="2">
        <v>16.536999999999999</v>
      </c>
      <c r="O41" s="2">
        <v>16.357749999999999</v>
      </c>
      <c r="P41" s="2">
        <v>16.280750000000001</v>
      </c>
      <c r="Q41" s="2">
        <v>0.91008042571203973</v>
      </c>
      <c r="R41" s="2">
        <v>0.91085265394079262</v>
      </c>
      <c r="S41" s="2">
        <v>0.90594720759178782</v>
      </c>
      <c r="T41" s="2">
        <f t="shared" si="6"/>
        <v>0.90895754182128208</v>
      </c>
    </row>
    <row r="42" spans="1:20" ht="15.75" customHeight="1" x14ac:dyDescent="0.3">
      <c r="A42" s="1" t="s">
        <v>54</v>
      </c>
      <c r="B42" s="1">
        <f>95.575*S58</f>
        <v>89.418987717858599</v>
      </c>
      <c r="C42" s="1">
        <f>91.975*S58</f>
        <v>86.050864717238227</v>
      </c>
      <c r="D42" s="1">
        <f>91.925*S58</f>
        <v>86.004085231118509</v>
      </c>
      <c r="E42" s="1" t="s">
        <v>55</v>
      </c>
      <c r="M42" s="2" t="s">
        <v>28</v>
      </c>
      <c r="N42" s="2">
        <v>16.512</v>
      </c>
      <c r="O42" s="2">
        <v>16.449666666666669</v>
      </c>
      <c r="P42" s="2">
        <v>16.228999999999999</v>
      </c>
      <c r="Q42" s="2">
        <v>0.91145833333333337</v>
      </c>
      <c r="R42" s="2">
        <v>0.90576303471194941</v>
      </c>
      <c r="S42" s="2">
        <v>0.90883603425965875</v>
      </c>
      <c r="T42" s="2">
        <f t="shared" si="6"/>
        <v>0.90868281939287332</v>
      </c>
    </row>
    <row r="43" spans="1:20" ht="15.75" customHeight="1" x14ac:dyDescent="0.3">
      <c r="A43" s="1">
        <v>2007</v>
      </c>
      <c r="B43" s="1">
        <f>93.675*S58</f>
        <v>87.641367245308956</v>
      </c>
      <c r="C43" s="1">
        <f>92.2*S58</f>
        <v>86.261372404777006</v>
      </c>
      <c r="D43" s="1">
        <f>91.4*S58</f>
        <v>85.512900626861381</v>
      </c>
      <c r="E43" s="3" t="s">
        <v>56</v>
      </c>
      <c r="M43" s="2" t="s">
        <v>76</v>
      </c>
    </row>
    <row r="44" spans="1:20" ht="15.75" customHeight="1" x14ac:dyDescent="0.3">
      <c r="A44" s="1">
        <v>2006</v>
      </c>
      <c r="B44" s="1">
        <f>94.4*S58</f>
        <v>88.319669794045012</v>
      </c>
      <c r="C44" s="1">
        <f>93.175*S58</f>
        <v>87.173572384111679</v>
      </c>
      <c r="D44" s="1">
        <f>92.975*S58</f>
        <v>86.986454439632766</v>
      </c>
      <c r="E44" s="3" t="s">
        <v>58</v>
      </c>
      <c r="M44" s="2" t="s">
        <v>3</v>
      </c>
      <c r="N44" s="2" t="s">
        <v>4</v>
      </c>
      <c r="O44" s="2" t="s">
        <v>5</v>
      </c>
      <c r="P44" s="2" t="s">
        <v>6</v>
      </c>
      <c r="Q44" s="2" t="s">
        <v>7</v>
      </c>
      <c r="R44" s="2" t="s">
        <v>8</v>
      </c>
      <c r="S44" s="2" t="s">
        <v>9</v>
      </c>
      <c r="T44" s="2" t="s">
        <v>10</v>
      </c>
    </row>
    <row r="45" spans="1:20" ht="15.75" customHeight="1" x14ac:dyDescent="0.3">
      <c r="A45" s="1" t="s">
        <v>59</v>
      </c>
      <c r="B45" s="2">
        <f t="shared" ref="B45:D45" si="7">AVERAGE(B25:B44)</f>
        <v>87.678648008122764</v>
      </c>
      <c r="C45" s="2">
        <f t="shared" si="7"/>
        <v>86.28477895933662</v>
      </c>
      <c r="D45" s="2">
        <f t="shared" si="7"/>
        <v>85.770677423259727</v>
      </c>
      <c r="M45" s="2" t="s">
        <v>16</v>
      </c>
      <c r="N45" s="2">
        <v>15.783000000000001</v>
      </c>
      <c r="O45" s="2">
        <v>15.283000000000001</v>
      </c>
      <c r="P45" s="2">
        <v>15.183</v>
      </c>
    </row>
    <row r="46" spans="1:20" ht="15.75" customHeight="1" x14ac:dyDescent="0.3">
      <c r="A46" s="1" t="s">
        <v>67</v>
      </c>
      <c r="M46" s="2" t="s">
        <v>19</v>
      </c>
      <c r="N46" s="2">
        <v>15.891499999999999</v>
      </c>
      <c r="O46" s="2">
        <v>15.52675</v>
      </c>
      <c r="P46" s="2">
        <v>15.307749999999999</v>
      </c>
      <c r="Q46" s="2">
        <v>0.99317245068118187</v>
      </c>
      <c r="R46" s="2">
        <v>0.9843012864894457</v>
      </c>
      <c r="S46" s="2">
        <v>0.99185053322663363</v>
      </c>
      <c r="T46" s="2">
        <f t="shared" ref="T46:T49" si="8">GEOMEAN(Q46:S46)</f>
        <v>0.98976702938240879</v>
      </c>
    </row>
    <row r="47" spans="1:20" ht="15.75" customHeight="1" x14ac:dyDescent="0.3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15</v>
      </c>
      <c r="M47" s="2" t="s">
        <v>22</v>
      </c>
      <c r="N47" s="2">
        <v>15.978750000000002</v>
      </c>
      <c r="O47" s="2">
        <f>AVERAGE(C148:C152)</f>
        <v>15.025372549955247</v>
      </c>
      <c r="P47" s="2">
        <v>15.661999999999999</v>
      </c>
      <c r="Q47" s="2">
        <v>0.98774935461159352</v>
      </c>
      <c r="R47" s="2">
        <v>0.83573030021326633</v>
      </c>
      <c r="S47" s="2">
        <v>0.96941642191291033</v>
      </c>
      <c r="T47" s="2">
        <f t="shared" si="8"/>
        <v>0.92841274079504499</v>
      </c>
    </row>
    <row r="48" spans="1:20" ht="15.75" customHeight="1" x14ac:dyDescent="0.3">
      <c r="A48" s="1" t="s">
        <v>17</v>
      </c>
      <c r="B48" s="1">
        <v>14.866</v>
      </c>
      <c r="C48" s="1">
        <v>14.666</v>
      </c>
      <c r="D48" s="1">
        <v>14.6</v>
      </c>
      <c r="E48" s="3" t="s">
        <v>18</v>
      </c>
      <c r="M48" s="2" t="s">
        <v>25</v>
      </c>
      <c r="N48" s="2">
        <v>15.890625</v>
      </c>
      <c r="O48" s="2">
        <v>15.680999999999999</v>
      </c>
      <c r="P48" s="2">
        <v>15.524750000000001</v>
      </c>
      <c r="Q48" s="2">
        <v>0.99322713864306789</v>
      </c>
      <c r="R48" s="2">
        <f>O45/O47</f>
        <v>1.0171461605486463</v>
      </c>
      <c r="S48" s="2">
        <v>0.97798676307186905</v>
      </c>
      <c r="T48" s="2">
        <f t="shared" si="8"/>
        <v>0.99598998802059657</v>
      </c>
    </row>
    <row r="49" spans="1:20" ht="15.75" customHeight="1" x14ac:dyDescent="0.3">
      <c r="A49" s="1" t="s">
        <v>20</v>
      </c>
      <c r="B49" s="1">
        <v>14.532999999999999</v>
      </c>
      <c r="C49" s="1">
        <v>14.5</v>
      </c>
      <c r="D49" s="1">
        <v>14.266</v>
      </c>
      <c r="E49" s="3" t="s">
        <v>21</v>
      </c>
      <c r="M49" s="2" t="s">
        <v>28</v>
      </c>
      <c r="N49" s="2">
        <v>16.258333333333336</v>
      </c>
      <c r="O49" s="2">
        <v>16.150000000000002</v>
      </c>
      <c r="P49" s="2">
        <v>16.116666666666664</v>
      </c>
      <c r="Q49" s="2">
        <v>0.97076371091747815</v>
      </c>
      <c r="R49" s="2">
        <v>0.94631578947368411</v>
      </c>
      <c r="S49" s="2">
        <v>0.94206825232678404</v>
      </c>
      <c r="T49" s="2">
        <f t="shared" si="8"/>
        <v>0.95296583146636671</v>
      </c>
    </row>
    <row r="50" spans="1:20" ht="15.75" customHeight="1" x14ac:dyDescent="0.3">
      <c r="A50" s="1" t="s">
        <v>23</v>
      </c>
      <c r="B50" s="1">
        <f>14.933*M58</f>
        <v>14.817642792565026</v>
      </c>
      <c r="C50" s="1">
        <f>14.933*M58</f>
        <v>14.817642792565026</v>
      </c>
      <c r="D50" s="1">
        <f>14.766*M58</f>
        <v>14.651932865131934</v>
      </c>
      <c r="E50" s="3" t="s">
        <v>24</v>
      </c>
      <c r="M50" s="2" t="s">
        <v>77</v>
      </c>
    </row>
    <row r="51" spans="1:20" ht="15.75" customHeight="1" x14ac:dyDescent="0.3">
      <c r="A51" s="1" t="s">
        <v>26</v>
      </c>
      <c r="B51" s="6">
        <f>15.3*M58</f>
        <v>15.181807722912001</v>
      </c>
      <c r="C51" s="6">
        <f>15.2*M58</f>
        <v>15.082580221455059</v>
      </c>
      <c r="D51" s="6">
        <f>14.933*M58</f>
        <v>14.817642792565026</v>
      </c>
      <c r="E51" s="8" t="s">
        <v>27</v>
      </c>
      <c r="M51" s="2" t="s">
        <v>3</v>
      </c>
      <c r="N51" s="2" t="s">
        <v>4</v>
      </c>
      <c r="O51" s="2" t="s">
        <v>5</v>
      </c>
      <c r="P51" s="2" t="s">
        <v>6</v>
      </c>
      <c r="Q51" s="2" t="s">
        <v>7</v>
      </c>
      <c r="R51" s="2" t="s">
        <v>8</v>
      </c>
      <c r="S51" s="2" t="s">
        <v>9</v>
      </c>
      <c r="T51" s="2" t="s">
        <v>10</v>
      </c>
    </row>
    <row r="52" spans="1:20" ht="15.75" customHeight="1" x14ac:dyDescent="0.3">
      <c r="A52" s="1" t="s">
        <v>29</v>
      </c>
      <c r="B52" s="7"/>
      <c r="C52" s="7"/>
      <c r="D52" s="7"/>
      <c r="E52" s="7"/>
      <c r="M52" s="2" t="s">
        <v>16</v>
      </c>
      <c r="N52" s="2">
        <v>15.016500000000001</v>
      </c>
      <c r="O52" s="2">
        <v>14.7</v>
      </c>
      <c r="P52" s="2">
        <v>14.483000000000001</v>
      </c>
    </row>
    <row r="53" spans="1:20" ht="15.75" customHeight="1" x14ac:dyDescent="0.3">
      <c r="A53" s="1" t="s">
        <v>31</v>
      </c>
      <c r="B53" s="1">
        <f>14.9*M58</f>
        <v>14.784897717084236</v>
      </c>
      <c r="C53" s="1">
        <f>14.866*M58</f>
        <v>14.751160366588875</v>
      </c>
      <c r="D53" s="1">
        <f>14.6*M58</f>
        <v>14.487215212713412</v>
      </c>
      <c r="E53" s="3" t="s">
        <v>32</v>
      </c>
      <c r="M53" s="2" t="s">
        <v>19</v>
      </c>
      <c r="N53" s="2">
        <v>14.824750000000002</v>
      </c>
      <c r="O53" s="2">
        <v>14.649750000000001</v>
      </c>
      <c r="P53" s="2">
        <v>14.449749999999998</v>
      </c>
      <c r="Q53" s="2">
        <v>1.0129344508339095</v>
      </c>
      <c r="R53" s="2">
        <v>1.0034300926636972</v>
      </c>
      <c r="S53" s="2">
        <v>1.0023010778733197</v>
      </c>
      <c r="T53" s="2">
        <f t="shared" ref="T53:T56" si="9">GEOMEAN(Q53:S53)</f>
        <v>1.0062105972692537</v>
      </c>
    </row>
    <row r="54" spans="1:20" ht="15.75" customHeight="1" x14ac:dyDescent="0.3">
      <c r="A54" s="1" t="s">
        <v>33</v>
      </c>
      <c r="B54" s="6">
        <f>15.633*M58</f>
        <v>15.512235302763614</v>
      </c>
      <c r="C54" s="6">
        <f>14.533*M58</f>
        <v>14.420732786737261</v>
      </c>
      <c r="D54" s="6">
        <f>14.5*M58</f>
        <v>14.387987711256471</v>
      </c>
      <c r="E54" s="8" t="s">
        <v>35</v>
      </c>
      <c r="M54" s="2" t="s">
        <v>22</v>
      </c>
      <c r="N54" s="2">
        <v>15.956</v>
      </c>
      <c r="O54" s="2">
        <v>15.714499999999999</v>
      </c>
      <c r="P54" s="2">
        <v>15.42475</v>
      </c>
      <c r="Q54" s="2">
        <v>0.94111932815241917</v>
      </c>
      <c r="R54" s="2">
        <v>0.93544178943014411</v>
      </c>
      <c r="S54" s="2">
        <v>0.93894552585941427</v>
      </c>
      <c r="T54" s="2">
        <f t="shared" si="9"/>
        <v>0.93849929855286029</v>
      </c>
    </row>
    <row r="55" spans="1:20" ht="15.75" customHeight="1" x14ac:dyDescent="0.3">
      <c r="A55" s="1" t="s">
        <v>36</v>
      </c>
      <c r="B55" s="7"/>
      <c r="C55" s="7"/>
      <c r="D55" s="7"/>
      <c r="E55" s="7"/>
      <c r="M55" s="2" t="s">
        <v>25</v>
      </c>
      <c r="N55" s="2">
        <v>16.322499999999998</v>
      </c>
      <c r="O55" s="2">
        <v>16.155999999999999</v>
      </c>
      <c r="P55" s="2">
        <v>16.072499999999998</v>
      </c>
      <c r="Q55" s="2">
        <v>0.9199877469750346</v>
      </c>
      <c r="R55" s="2">
        <v>0.90987868284228768</v>
      </c>
      <c r="S55" s="2">
        <v>0.90110437081972328</v>
      </c>
      <c r="T55" s="2">
        <f t="shared" si="9"/>
        <v>0.91029091820919594</v>
      </c>
    </row>
    <row r="56" spans="1:20" ht="15.75" customHeight="1" x14ac:dyDescent="0.3">
      <c r="A56" s="1" t="s">
        <v>37</v>
      </c>
      <c r="B56" s="1">
        <f>15.633*O58</f>
        <v>14.878802120317374</v>
      </c>
      <c r="C56" s="1">
        <f>15.533*O58</f>
        <v>14.783626516656417</v>
      </c>
      <c r="D56" s="1">
        <f>15.433*O58</f>
        <v>14.68845091299546</v>
      </c>
      <c r="E56" s="3" t="s">
        <v>38</v>
      </c>
      <c r="M56" s="2" t="s">
        <v>28</v>
      </c>
      <c r="N56" s="2">
        <v>16.275000000000002</v>
      </c>
      <c r="O56" s="2">
        <v>15.991666666666667</v>
      </c>
      <c r="P56" s="2">
        <v>15.925000000000002</v>
      </c>
      <c r="Q56" s="2">
        <v>0.92267281105990773</v>
      </c>
      <c r="R56" s="2">
        <v>0.91922876498176131</v>
      </c>
      <c r="S56" s="2">
        <v>0.90945054945054937</v>
      </c>
      <c r="T56" s="2">
        <f t="shared" si="9"/>
        <v>0.9171002383305138</v>
      </c>
    </row>
    <row r="57" spans="1:20" ht="15.75" customHeight="1" x14ac:dyDescent="0.3">
      <c r="A57" s="1" t="s">
        <v>39</v>
      </c>
      <c r="B57" s="1">
        <f>16.233*O58</f>
        <v>15.449855742283116</v>
      </c>
      <c r="C57" s="1">
        <f>15.566*O58</f>
        <v>14.815034465864533</v>
      </c>
      <c r="D57" s="1">
        <f>15.2*O58</f>
        <v>14.466691756465432</v>
      </c>
      <c r="E57" s="3" t="s">
        <v>40</v>
      </c>
      <c r="M57" s="2" t="s">
        <v>78</v>
      </c>
      <c r="O57" s="2" t="s">
        <v>79</v>
      </c>
      <c r="Q57" s="2" t="s">
        <v>80</v>
      </c>
      <c r="S57" s="2" t="s">
        <v>81</v>
      </c>
    </row>
    <row r="58" spans="1:20" ht="15.75" customHeight="1" x14ac:dyDescent="0.3">
      <c r="A58" s="1" t="s">
        <v>41</v>
      </c>
      <c r="B58" s="1">
        <f>15.75*O58</f>
        <v>14.990157576600694</v>
      </c>
      <c r="C58" s="1">
        <f>15.733*O58</f>
        <v>14.973977723978331</v>
      </c>
      <c r="D58" s="1">
        <f>15.7*O58</f>
        <v>14.942569774770215</v>
      </c>
      <c r="E58" s="3" t="s">
        <v>42</v>
      </c>
      <c r="M58" s="2">
        <f>GEOMEAN(T53,T46,T39,T32,T25,T18,T11,T4)</f>
        <v>0.99227501456941181</v>
      </c>
      <c r="O58" s="2">
        <f>GEOMEAN(T54,T47,T40,T33,T26,T19,T12,T5)</f>
        <v>0.95175603660956787</v>
      </c>
      <c r="Q58" s="2">
        <f>GEOMEAN(T55,T48,T41,T34,T27,T20,T13,T6)</f>
        <v>0.95159061265624545</v>
      </c>
      <c r="S58" s="2">
        <f>GEOMEAN(T56,T49,T42,T35,T28,T21,T14,T7)</f>
        <v>0.93558972239454452</v>
      </c>
    </row>
    <row r="59" spans="1:20" ht="15.75" customHeight="1" x14ac:dyDescent="0.3">
      <c r="A59" s="1" t="s">
        <v>43</v>
      </c>
      <c r="B59" s="6">
        <f>16*O58</f>
        <v>15.228096585753086</v>
      </c>
      <c r="C59" s="6">
        <f>15.6*O58</f>
        <v>14.847394171109258</v>
      </c>
      <c r="D59" s="6">
        <f>15.5*O58</f>
        <v>14.752218567448303</v>
      </c>
      <c r="E59" s="8" t="s">
        <v>45</v>
      </c>
    </row>
    <row r="60" spans="1:20" ht="15.75" customHeight="1" x14ac:dyDescent="0.3">
      <c r="A60" s="1" t="s">
        <v>47</v>
      </c>
      <c r="B60" s="7"/>
      <c r="C60" s="7"/>
      <c r="D60" s="7"/>
      <c r="E60" s="7"/>
    </row>
    <row r="61" spans="1:20" ht="15.75" customHeight="1" x14ac:dyDescent="0.3">
      <c r="A61" s="1" t="s">
        <v>48</v>
      </c>
      <c r="B61" s="1">
        <f>15.933*Q58</f>
        <v>15.161693231451959</v>
      </c>
      <c r="C61" s="1">
        <f>15.8*Q58</f>
        <v>15.035131679968678</v>
      </c>
      <c r="D61" s="1">
        <f>15.8*Q58</f>
        <v>15.035131679968678</v>
      </c>
      <c r="E61" s="3" t="s">
        <v>49</v>
      </c>
    </row>
    <row r="62" spans="1:20" ht="15.75" customHeight="1" x14ac:dyDescent="0.3">
      <c r="A62" s="1" t="s">
        <v>50</v>
      </c>
      <c r="B62" s="1">
        <f>15.633*Q58</f>
        <v>14.876216047655085</v>
      </c>
      <c r="C62" s="1">
        <f>15.5*Q58</f>
        <v>14.749654496171804</v>
      </c>
      <c r="D62" s="1">
        <f>15.466*Q58</f>
        <v>14.717300415341491</v>
      </c>
      <c r="E62" s="3" t="s">
        <v>51</v>
      </c>
    </row>
    <row r="63" spans="1:20" ht="15.75" customHeight="1" x14ac:dyDescent="0.3">
      <c r="A63" s="1">
        <v>2010</v>
      </c>
      <c r="B63" s="1">
        <f>15.7*Q58</f>
        <v>14.939972618703052</v>
      </c>
      <c r="C63" s="1">
        <f>15.533*Q58</f>
        <v>14.78105698638946</v>
      </c>
      <c r="D63" s="1">
        <f>15.366*Q58</f>
        <v>14.622141354075866</v>
      </c>
      <c r="E63" s="3" t="s">
        <v>52</v>
      </c>
    </row>
    <row r="64" spans="1:20" ht="15.75" customHeight="1" x14ac:dyDescent="0.3">
      <c r="A64" s="1">
        <v>2009</v>
      </c>
      <c r="B64" s="1">
        <f>15.7*Q58</f>
        <v>14.939972618703052</v>
      </c>
      <c r="C64" s="1">
        <f>15.675*Q58</f>
        <v>14.916182853386648</v>
      </c>
      <c r="D64" s="1">
        <f>15.575*Q58</f>
        <v>14.821023792121022</v>
      </c>
      <c r="E64" s="3" t="s">
        <v>53</v>
      </c>
    </row>
    <row r="65" spans="1:5" ht="15.75" customHeight="1" x14ac:dyDescent="0.3">
      <c r="A65" s="1" t="s">
        <v>54</v>
      </c>
      <c r="B65" s="1">
        <f>16.05*S58</f>
        <v>15.016215044432441</v>
      </c>
      <c r="C65" s="1">
        <f>15.775*S58</f>
        <v>14.75892787077394</v>
      </c>
      <c r="D65" s="1">
        <f>15.725*S58</f>
        <v>14.712148384654212</v>
      </c>
      <c r="E65" s="1" t="s">
        <v>55</v>
      </c>
    </row>
    <row r="66" spans="1:5" ht="15.75" customHeight="1" x14ac:dyDescent="0.3">
      <c r="A66" s="1">
        <v>2007</v>
      </c>
      <c r="B66" s="1">
        <f>16.15*S58</f>
        <v>15.109774016671892</v>
      </c>
      <c r="C66" s="1">
        <f>15.95*S58</f>
        <v>14.922656072192984</v>
      </c>
      <c r="D66" s="1">
        <f>15.65*S58</f>
        <v>14.641979155474623</v>
      </c>
      <c r="E66" s="3" t="s">
        <v>56</v>
      </c>
    </row>
    <row r="67" spans="1:5" ht="15.75" customHeight="1" x14ac:dyDescent="0.3">
      <c r="A67" s="1">
        <v>2006</v>
      </c>
      <c r="B67" s="1">
        <f>16.25*S58</f>
        <v>15.203332988911349</v>
      </c>
      <c r="C67" s="1">
        <f>16.15*S58</f>
        <v>15.109774016671892</v>
      </c>
      <c r="D67" s="1">
        <f>15.7*S58</f>
        <v>14.688758641594349</v>
      </c>
      <c r="E67" s="3" t="s">
        <v>58</v>
      </c>
    </row>
    <row r="68" spans="1:5" ht="15.75" customHeight="1" x14ac:dyDescent="0.3">
      <c r="A68" s="1" t="s">
        <v>59</v>
      </c>
      <c r="B68" s="2">
        <f t="shared" ref="B68:D68" si="10">AVERAGE(B48:B67)</f>
        <v>15.028804242753409</v>
      </c>
      <c r="C68" s="2">
        <f t="shared" si="10"/>
        <v>14.819501942382953</v>
      </c>
      <c r="D68" s="2">
        <f t="shared" si="10"/>
        <v>14.664658412739794</v>
      </c>
    </row>
    <row r="69" spans="1:5" ht="15.75" customHeight="1" x14ac:dyDescent="0.3">
      <c r="A69" s="1" t="s">
        <v>82</v>
      </c>
    </row>
    <row r="70" spans="1:5" ht="15.75" customHeight="1" x14ac:dyDescent="0.3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</row>
    <row r="71" spans="1:5" ht="15.75" customHeight="1" x14ac:dyDescent="0.3">
      <c r="A71" s="1" t="s">
        <v>17</v>
      </c>
      <c r="B71" s="1">
        <v>15.1</v>
      </c>
      <c r="C71" s="1">
        <v>14.965999999999999</v>
      </c>
      <c r="D71" s="1">
        <v>14.632999999999999</v>
      </c>
      <c r="E71" s="3" t="s">
        <v>18</v>
      </c>
    </row>
    <row r="72" spans="1:5" ht="15.75" customHeight="1" x14ac:dyDescent="0.3">
      <c r="A72" s="1" t="s">
        <v>20</v>
      </c>
      <c r="B72" s="1">
        <v>15.3</v>
      </c>
      <c r="C72" s="1">
        <v>14.866</v>
      </c>
      <c r="D72" s="1">
        <v>14.733000000000001</v>
      </c>
      <c r="E72" s="3" t="s">
        <v>21</v>
      </c>
    </row>
    <row r="73" spans="1:5" ht="15.75" customHeight="1" x14ac:dyDescent="0.3">
      <c r="A73" s="1" t="s">
        <v>23</v>
      </c>
      <c r="B73" s="1">
        <f>15.583*M58</f>
        <v>15.462621552035145</v>
      </c>
      <c r="C73" s="1">
        <f>15.4*M58</f>
        <v>15.281035224368942</v>
      </c>
      <c r="D73" s="1">
        <f>14.9*M58</f>
        <v>14.784897717084236</v>
      </c>
      <c r="E73" s="3" t="s">
        <v>24</v>
      </c>
    </row>
    <row r="74" spans="1:5" ht="15.75" customHeight="1" x14ac:dyDescent="0.3">
      <c r="A74" s="1" t="s">
        <v>26</v>
      </c>
      <c r="B74" s="6">
        <f>15.5*M58</f>
        <v>15.380262725825883</v>
      </c>
      <c r="C74" s="6">
        <f>15.433*M58</f>
        <v>15.313780299849732</v>
      </c>
      <c r="D74" s="6">
        <f>15.4*M58</f>
        <v>15.281035224368942</v>
      </c>
      <c r="E74" s="8" t="s">
        <v>27</v>
      </c>
    </row>
    <row r="75" spans="1:5" ht="15.75" customHeight="1" x14ac:dyDescent="0.3">
      <c r="A75" s="1" t="s">
        <v>29</v>
      </c>
      <c r="B75" s="7"/>
      <c r="C75" s="7"/>
      <c r="D75" s="7"/>
      <c r="E75" s="7"/>
    </row>
    <row r="76" spans="1:5" ht="15.75" customHeight="1" x14ac:dyDescent="0.3">
      <c r="A76" s="1" t="s">
        <v>31</v>
      </c>
      <c r="B76" s="1">
        <f>15.166*M58</f>
        <v>15.0488428709597</v>
      </c>
      <c r="C76" s="1">
        <f>15.166*M58</f>
        <v>15.0488428709597</v>
      </c>
      <c r="D76" s="1">
        <f>14.966*M58</f>
        <v>14.850387868045816</v>
      </c>
      <c r="E76" s="3" t="s">
        <v>32</v>
      </c>
    </row>
    <row r="77" spans="1:5" ht="15.75" customHeight="1" x14ac:dyDescent="0.3">
      <c r="A77" s="1" t="s">
        <v>33</v>
      </c>
      <c r="B77" s="6">
        <f>15.441*M58</f>
        <v>15.321718499966288</v>
      </c>
      <c r="C77" s="6">
        <f>15.1*M58</f>
        <v>14.983352719998118</v>
      </c>
      <c r="D77" s="6">
        <f>15.066*M58</f>
        <v>14.949615369502759</v>
      </c>
      <c r="E77" s="8" t="s">
        <v>35</v>
      </c>
    </row>
    <row r="78" spans="1:5" ht="15.75" customHeight="1" x14ac:dyDescent="0.3">
      <c r="A78" s="1" t="s">
        <v>36</v>
      </c>
      <c r="B78" s="7"/>
      <c r="C78" s="7"/>
      <c r="D78" s="7"/>
      <c r="E78" s="7"/>
    </row>
    <row r="79" spans="1:5" ht="15.75" customHeight="1" x14ac:dyDescent="0.3">
      <c r="A79" s="1" t="s">
        <v>37</v>
      </c>
      <c r="B79" s="1">
        <f>15.966*O58</f>
        <v>15.19573688050836</v>
      </c>
      <c r="C79" s="1">
        <f>15.833*O58</f>
        <v>15.069153327639288</v>
      </c>
      <c r="D79" s="1">
        <f>15.7*O58</f>
        <v>14.942569774770215</v>
      </c>
      <c r="E79" s="3" t="s">
        <v>38</v>
      </c>
    </row>
    <row r="80" spans="1:5" ht="15.75" customHeight="1" x14ac:dyDescent="0.3">
      <c r="A80" s="1" t="s">
        <v>39</v>
      </c>
      <c r="B80" s="1">
        <f>16.133*O58</f>
        <v>15.354680138622157</v>
      </c>
      <c r="C80" s="1">
        <f>16.033*O58</f>
        <v>15.259504534961202</v>
      </c>
      <c r="D80" s="1">
        <f>15.5*O58</f>
        <v>14.752218567448303</v>
      </c>
      <c r="E80" s="3" t="s">
        <v>40</v>
      </c>
    </row>
    <row r="81" spans="1:5" ht="15.75" customHeight="1" x14ac:dyDescent="0.3">
      <c r="A81" s="1" t="s">
        <v>41</v>
      </c>
      <c r="B81" s="1">
        <f>16.033*O58</f>
        <v>15.259504534961202</v>
      </c>
      <c r="C81" s="1">
        <f>15.783*O58</f>
        <v>15.021565525808809</v>
      </c>
      <c r="D81" s="1">
        <f>15.6*O58</f>
        <v>14.847394171109258</v>
      </c>
      <c r="E81" s="3" t="s">
        <v>42</v>
      </c>
    </row>
    <row r="82" spans="1:5" ht="15.75" customHeight="1" x14ac:dyDescent="0.3">
      <c r="A82" s="1" t="s">
        <v>43</v>
      </c>
      <c r="B82" s="6">
        <f>15.833*O58</f>
        <v>15.069153327639288</v>
      </c>
      <c r="C82" s="6">
        <f>15.633*O58</f>
        <v>14.878802120317374</v>
      </c>
      <c r="D82" s="6">
        <f>15.6*O58</f>
        <v>14.847394171109258</v>
      </c>
      <c r="E82" s="8" t="s">
        <v>45</v>
      </c>
    </row>
    <row r="83" spans="1:5" ht="15.75" customHeight="1" x14ac:dyDescent="0.3">
      <c r="A83" s="1" t="s">
        <v>47</v>
      </c>
      <c r="B83" s="7"/>
      <c r="C83" s="7"/>
      <c r="D83" s="7"/>
      <c r="E83" s="7"/>
    </row>
    <row r="84" spans="1:5" ht="15.75" customHeight="1" x14ac:dyDescent="0.3">
      <c r="A84" s="1" t="s">
        <v>48</v>
      </c>
      <c r="B84" s="1">
        <f>16.066*Q58</f>
        <v>15.288254782935239</v>
      </c>
      <c r="C84" s="1">
        <f>16.066*Q58</f>
        <v>15.288254782935239</v>
      </c>
      <c r="D84" s="1">
        <f>15.6*Q58</f>
        <v>14.844813557437428</v>
      </c>
      <c r="E84" s="3" t="s">
        <v>49</v>
      </c>
    </row>
    <row r="85" spans="1:5" ht="15.75" customHeight="1" x14ac:dyDescent="0.3">
      <c r="A85" s="1" t="s">
        <v>50</v>
      </c>
      <c r="B85" s="1">
        <f>15.833*Q58</f>
        <v>15.066534170186335</v>
      </c>
      <c r="C85" s="1">
        <f>15.266*Q58</f>
        <v>14.526982292810244</v>
      </c>
      <c r="D85" s="1">
        <f>15.066*Q58</f>
        <v>14.336664170278995</v>
      </c>
      <c r="E85" s="3" t="s">
        <v>51</v>
      </c>
    </row>
    <row r="86" spans="1:5" ht="15.75" customHeight="1" x14ac:dyDescent="0.3">
      <c r="A86" s="1">
        <v>2010</v>
      </c>
      <c r="B86" s="1">
        <f>15.833*Q58</f>
        <v>15.066534170186335</v>
      </c>
      <c r="C86" s="1">
        <f>15.733*Q58</f>
        <v>14.971375108920711</v>
      </c>
      <c r="D86" s="1">
        <f>15.566*Q58</f>
        <v>14.812459476607117</v>
      </c>
      <c r="E86" s="3" t="s">
        <v>52</v>
      </c>
    </row>
    <row r="87" spans="1:5" ht="15.75" customHeight="1" x14ac:dyDescent="0.3">
      <c r="A87" s="1">
        <v>2009</v>
      </c>
      <c r="B87" s="1">
        <f>16.2*Q58</f>
        <v>15.415767925031176</v>
      </c>
      <c r="C87" s="1">
        <f>16.075*Q58</f>
        <v>15.296819098449145</v>
      </c>
      <c r="D87" s="1">
        <f>15.4*Q58</f>
        <v>14.654495434906181</v>
      </c>
      <c r="E87" s="3" t="s">
        <v>53</v>
      </c>
    </row>
    <row r="88" spans="1:5" ht="15.75" customHeight="1" x14ac:dyDescent="0.3">
      <c r="A88" s="1" t="s">
        <v>54</v>
      </c>
      <c r="B88" s="1">
        <f>15.875*S58</f>
        <v>14.852486843013395</v>
      </c>
      <c r="C88" s="1">
        <f>15.725*S58</f>
        <v>14.712148384654212</v>
      </c>
      <c r="D88" s="1">
        <f>15.725*S58</f>
        <v>14.712148384654212</v>
      </c>
      <c r="E88" s="1" t="s">
        <v>55</v>
      </c>
    </row>
    <row r="89" spans="1:5" ht="15.75" customHeight="1" x14ac:dyDescent="0.3">
      <c r="A89" s="1">
        <v>2007</v>
      </c>
      <c r="B89" s="1">
        <f>16.3*S58</f>
        <v>15.250112475031075</v>
      </c>
      <c r="C89" s="1">
        <f>15.7*S58</f>
        <v>14.688758641594349</v>
      </c>
      <c r="D89" s="1">
        <f>15.6*S58</f>
        <v>14.595199669354894</v>
      </c>
      <c r="E89" s="3" t="s">
        <v>56</v>
      </c>
    </row>
    <row r="90" spans="1:5" ht="15.75" customHeight="1" x14ac:dyDescent="0.3">
      <c r="A90" s="1">
        <v>2006</v>
      </c>
      <c r="B90" s="1">
        <f>16.025*S58</f>
        <v>14.992825301372575</v>
      </c>
      <c r="C90" s="1">
        <f>15.75*S58</f>
        <v>14.735538127714076</v>
      </c>
      <c r="D90" s="1">
        <f>15.5*S58</f>
        <v>14.501640697115439</v>
      </c>
      <c r="E90" s="3" t="s">
        <v>58</v>
      </c>
    </row>
    <row r="91" spans="1:5" ht="15.75" customHeight="1" x14ac:dyDescent="0.3">
      <c r="A91" s="1" t="s">
        <v>59</v>
      </c>
      <c r="B91" s="2">
        <f t="shared" ref="B91:D91" si="11">AVERAGE(B71:B90)</f>
        <v>15.201472717545538</v>
      </c>
      <c r="C91" s="2">
        <f t="shared" si="11"/>
        <v>14.994583121234182</v>
      </c>
      <c r="D91" s="2">
        <f t="shared" si="11"/>
        <v>14.769349073752531</v>
      </c>
    </row>
    <row r="92" spans="1:5" ht="15.75" customHeight="1" x14ac:dyDescent="0.3">
      <c r="A92" s="1" t="s">
        <v>83</v>
      </c>
    </row>
    <row r="93" spans="1:5" ht="15.75" customHeight="1" x14ac:dyDescent="0.3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15</v>
      </c>
    </row>
    <row r="94" spans="1:5" ht="15.75" customHeight="1" x14ac:dyDescent="0.3">
      <c r="A94" s="1" t="s">
        <v>17</v>
      </c>
      <c r="B94" s="1">
        <v>15.233000000000001</v>
      </c>
      <c r="C94" s="1">
        <v>15.066000000000001</v>
      </c>
      <c r="D94" s="1">
        <v>14.833</v>
      </c>
      <c r="E94" s="3" t="s">
        <v>18</v>
      </c>
    </row>
    <row r="95" spans="1:5" ht="15.75" customHeight="1" x14ac:dyDescent="0.3">
      <c r="A95" s="1" t="s">
        <v>20</v>
      </c>
      <c r="B95" s="1">
        <v>16.166</v>
      </c>
      <c r="C95" s="1">
        <v>15.5</v>
      </c>
      <c r="D95" s="1">
        <v>15.366</v>
      </c>
      <c r="E95" s="3" t="s">
        <v>21</v>
      </c>
    </row>
    <row r="96" spans="1:5" ht="15.75" customHeight="1" x14ac:dyDescent="0.3">
      <c r="A96" s="1" t="s">
        <v>23</v>
      </c>
      <c r="B96" s="1">
        <f>15.5*M58</f>
        <v>15.380262725825883</v>
      </c>
      <c r="C96" s="1">
        <f>15.3*M58</f>
        <v>15.181807722912001</v>
      </c>
      <c r="D96" s="1">
        <f>15.2*M58</f>
        <v>15.082580221455059</v>
      </c>
      <c r="E96" s="3" t="s">
        <v>24</v>
      </c>
    </row>
    <row r="97" spans="1:5" ht="15.75" customHeight="1" x14ac:dyDescent="0.3">
      <c r="A97" s="1" t="s">
        <v>26</v>
      </c>
      <c r="B97" s="6">
        <f>14.933*M58</f>
        <v>14.817642792565026</v>
      </c>
      <c r="C97" s="6">
        <f>14.9*M58</f>
        <v>14.784897717084236</v>
      </c>
      <c r="D97" s="6">
        <f>14.8*M58</f>
        <v>14.685670215627296</v>
      </c>
      <c r="E97" s="8" t="s">
        <v>27</v>
      </c>
    </row>
    <row r="98" spans="1:5" ht="15.75" customHeight="1" x14ac:dyDescent="0.3">
      <c r="A98" s="1" t="s">
        <v>29</v>
      </c>
      <c r="B98" s="7"/>
      <c r="C98" s="7"/>
      <c r="D98" s="7"/>
      <c r="E98" s="7"/>
    </row>
    <row r="99" spans="1:5" ht="15.75" customHeight="1" x14ac:dyDescent="0.3">
      <c r="A99" s="1" t="s">
        <v>31</v>
      </c>
      <c r="B99" s="1">
        <f>15.366*M58</f>
        <v>15.247297873873581</v>
      </c>
      <c r="C99" s="1">
        <f>15.1*M58</f>
        <v>14.983352719998118</v>
      </c>
      <c r="D99" s="1">
        <f>14.9*M58</f>
        <v>14.784897717084236</v>
      </c>
      <c r="E99" s="3" t="s">
        <v>32</v>
      </c>
    </row>
    <row r="100" spans="1:5" ht="15.75" customHeight="1" x14ac:dyDescent="0.3">
      <c r="A100" s="1" t="s">
        <v>33</v>
      </c>
      <c r="B100" s="6">
        <f>15.433*M58</f>
        <v>15.313780299849732</v>
      </c>
      <c r="C100" s="6">
        <f>15.333*M58</f>
        <v>15.214552798392791</v>
      </c>
      <c r="D100" s="6">
        <f>15.266*M58</f>
        <v>15.14807037241664</v>
      </c>
      <c r="E100" s="8" t="s">
        <v>35</v>
      </c>
    </row>
    <row r="101" spans="1:5" ht="15.75" customHeight="1" x14ac:dyDescent="0.3">
      <c r="A101" s="1" t="s">
        <v>36</v>
      </c>
      <c r="B101" s="7"/>
      <c r="C101" s="7"/>
      <c r="D101" s="7"/>
      <c r="E101" s="7"/>
    </row>
    <row r="102" spans="1:5" ht="15.75" customHeight="1" x14ac:dyDescent="0.3">
      <c r="A102" s="1" t="s">
        <v>37</v>
      </c>
      <c r="B102" s="1">
        <f>16.041*O58</f>
        <v>15.267118583254078</v>
      </c>
      <c r="C102" s="1">
        <f>15.9*O58</f>
        <v>15.132920982092129</v>
      </c>
      <c r="D102" s="1">
        <f>15.783*O58</f>
        <v>15.021565525808809</v>
      </c>
      <c r="E102" s="3" t="s">
        <v>38</v>
      </c>
    </row>
    <row r="103" spans="1:5" ht="15.75" customHeight="1" x14ac:dyDescent="0.3">
      <c r="A103" s="1" t="s">
        <v>39</v>
      </c>
      <c r="B103" s="1">
        <f>16.133*O58</f>
        <v>15.354680138622157</v>
      </c>
      <c r="C103" s="1">
        <f>16.033*O58</f>
        <v>15.259504534961202</v>
      </c>
      <c r="D103" s="1">
        <f>15.5*O58</f>
        <v>14.752218567448303</v>
      </c>
      <c r="E103" s="3" t="s">
        <v>40</v>
      </c>
    </row>
    <row r="104" spans="1:5" ht="15.75" customHeight="1" x14ac:dyDescent="0.3">
      <c r="A104" s="1" t="s">
        <v>41</v>
      </c>
      <c r="B104" s="1">
        <f>15.933*O58</f>
        <v>15.164328931300245</v>
      </c>
      <c r="C104" s="1">
        <f>15.733*O58</f>
        <v>14.973977723978331</v>
      </c>
      <c r="D104" s="1">
        <f>15.7*O58</f>
        <v>14.942569774770215</v>
      </c>
      <c r="E104" s="3" t="s">
        <v>42</v>
      </c>
    </row>
    <row r="105" spans="1:5" ht="15.75" customHeight="1" x14ac:dyDescent="0.3">
      <c r="A105" s="1" t="s">
        <v>43</v>
      </c>
      <c r="B105" s="6">
        <f>15.8*O58</f>
        <v>15.037745378431174</v>
      </c>
      <c r="C105" s="6">
        <f>15.733*O58</f>
        <v>14.973977723978331</v>
      </c>
      <c r="D105" s="6">
        <f>15.666*O58</f>
        <v>14.91021006952549</v>
      </c>
      <c r="E105" s="8" t="s">
        <v>45</v>
      </c>
    </row>
    <row r="106" spans="1:5" ht="15.75" customHeight="1" x14ac:dyDescent="0.3">
      <c r="A106" s="1" t="s">
        <v>47</v>
      </c>
      <c r="B106" s="7"/>
      <c r="C106" s="7"/>
      <c r="D106" s="7"/>
      <c r="E106" s="7"/>
    </row>
    <row r="107" spans="1:5" ht="15.75" customHeight="1" x14ac:dyDescent="0.3">
      <c r="A107" s="1" t="s">
        <v>48</v>
      </c>
      <c r="B107" s="1">
        <f>15.966*Q58</f>
        <v>15.193095721669614</v>
      </c>
      <c r="C107" s="1">
        <f>15.8*Q58</f>
        <v>15.035131679968678</v>
      </c>
      <c r="D107" s="1">
        <f>15.566*Q58</f>
        <v>14.812459476607117</v>
      </c>
      <c r="E107" s="3" t="s">
        <v>49</v>
      </c>
    </row>
    <row r="108" spans="1:5" ht="15.75" customHeight="1" x14ac:dyDescent="0.3">
      <c r="A108" s="1" t="s">
        <v>50</v>
      </c>
      <c r="B108" s="1">
        <f>15.8*Q58</f>
        <v>15.035131679968678</v>
      </c>
      <c r="C108" s="1">
        <f>15.6*Q58</f>
        <v>14.844813557437428</v>
      </c>
      <c r="D108" s="1">
        <f>15.5*Q58</f>
        <v>14.749654496171804</v>
      </c>
      <c r="E108" s="3" t="s">
        <v>51</v>
      </c>
    </row>
    <row r="109" spans="1:5" ht="15.75" customHeight="1" x14ac:dyDescent="0.3">
      <c r="A109" s="1">
        <v>2010</v>
      </c>
      <c r="B109" s="1">
        <f>15.9*Q58</f>
        <v>15.130290741234303</v>
      </c>
      <c r="C109" s="1">
        <f>15.7*Q58</f>
        <v>14.939972618703052</v>
      </c>
      <c r="D109" s="1">
        <f>15.666*Q58</f>
        <v>14.907618537872741</v>
      </c>
      <c r="E109" s="3" t="s">
        <v>52</v>
      </c>
    </row>
    <row r="110" spans="1:5" ht="15.75" customHeight="1" x14ac:dyDescent="0.3">
      <c r="A110" s="1">
        <v>2009</v>
      </c>
      <c r="B110" s="1">
        <f>15.675*Q58</f>
        <v>14.916182853386648</v>
      </c>
      <c r="C110" s="1">
        <f>15.575*Q58</f>
        <v>14.821023792121022</v>
      </c>
      <c r="D110" s="1">
        <f>15.55*Q58</f>
        <v>14.797234026804617</v>
      </c>
      <c r="E110" s="3" t="s">
        <v>53</v>
      </c>
    </row>
    <row r="111" spans="1:5" ht="15.75" customHeight="1" x14ac:dyDescent="0.3">
      <c r="A111" s="1" t="s">
        <v>54</v>
      </c>
      <c r="B111" s="1">
        <f>16.6*S58</f>
        <v>15.53078939174944</v>
      </c>
      <c r="C111" s="1">
        <f>16.425*S58</f>
        <v>15.367061190330395</v>
      </c>
      <c r="D111" s="1">
        <f>16.325*S58</f>
        <v>15.273502218090938</v>
      </c>
      <c r="E111" s="1" t="s">
        <v>55</v>
      </c>
    </row>
    <row r="112" spans="1:5" ht="15.75" customHeight="1" x14ac:dyDescent="0.3">
      <c r="A112" s="1">
        <v>2007</v>
      </c>
      <c r="B112" s="1">
        <f>16.7*S58</f>
        <v>15.624348363988894</v>
      </c>
      <c r="C112" s="1">
        <f>16.625*S58</f>
        <v>15.554179134809303</v>
      </c>
      <c r="D112" s="1">
        <f>16.575*S58</f>
        <v>15.507399648689574</v>
      </c>
      <c r="E112" s="3" t="s">
        <v>56</v>
      </c>
    </row>
    <row r="113" spans="1:5" ht="15.75" customHeight="1" x14ac:dyDescent="0.3">
      <c r="A113" s="1">
        <v>2006</v>
      </c>
      <c r="B113" s="1">
        <f>16.525*S58</f>
        <v>15.460620162569846</v>
      </c>
      <c r="C113" s="1">
        <f>16.325*S58</f>
        <v>15.273502218090938</v>
      </c>
      <c r="D113" s="1">
        <f>16.3*S58</f>
        <v>15.250112475031075</v>
      </c>
      <c r="E113" s="3" t="s">
        <v>58</v>
      </c>
    </row>
    <row r="114" spans="1:5" ht="15.75" customHeight="1" x14ac:dyDescent="0.3">
      <c r="A114" s="1" t="s">
        <v>59</v>
      </c>
      <c r="B114" s="2">
        <f t="shared" ref="B114:D114" si="12">AVERAGE(B94:B113)</f>
        <v>15.286606802252308</v>
      </c>
      <c r="C114" s="2">
        <f t="shared" si="12"/>
        <v>15.112157418521054</v>
      </c>
      <c r="D114" s="2">
        <f t="shared" si="12"/>
        <v>14.989691961376698</v>
      </c>
    </row>
    <row r="115" spans="1:5" ht="15.75" customHeight="1" x14ac:dyDescent="0.3">
      <c r="A115" s="1" t="s">
        <v>69</v>
      </c>
    </row>
    <row r="116" spans="1:5" ht="15.75" customHeight="1" x14ac:dyDescent="0.3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15</v>
      </c>
    </row>
    <row r="117" spans="1:5" ht="15.75" customHeight="1" x14ac:dyDescent="0.3">
      <c r="A117" s="1" t="s">
        <v>17</v>
      </c>
      <c r="B117" s="1">
        <v>15.05</v>
      </c>
      <c r="C117" s="1">
        <v>14.849</v>
      </c>
      <c r="D117" s="1">
        <v>14.766</v>
      </c>
      <c r="E117" s="3" t="s">
        <v>18</v>
      </c>
    </row>
    <row r="118" spans="1:5" ht="15.75" customHeight="1" x14ac:dyDescent="0.3">
      <c r="A118" s="1" t="s">
        <v>20</v>
      </c>
      <c r="B118" s="1">
        <v>15.05</v>
      </c>
      <c r="C118" s="1">
        <v>14.95</v>
      </c>
      <c r="D118" s="1">
        <v>14.733000000000001</v>
      </c>
      <c r="E118" s="3" t="s">
        <v>21</v>
      </c>
    </row>
    <row r="119" spans="1:5" ht="15.75" customHeight="1" x14ac:dyDescent="0.3">
      <c r="A119" s="1" t="s">
        <v>23</v>
      </c>
      <c r="B119" s="1">
        <f>14.783*M58</f>
        <v>14.668801540379615</v>
      </c>
      <c r="C119" s="1">
        <f>14.783*M58</f>
        <v>14.668801540379615</v>
      </c>
      <c r="D119" s="1">
        <f>14.733*M58</f>
        <v>14.619187789651145</v>
      </c>
      <c r="E119" s="3" t="s">
        <v>24</v>
      </c>
    </row>
    <row r="120" spans="1:5" ht="15.75" customHeight="1" x14ac:dyDescent="0.3">
      <c r="A120" s="1" t="s">
        <v>26</v>
      </c>
      <c r="B120" s="6">
        <f>14.966*M58</f>
        <v>14.850387868045816</v>
      </c>
      <c r="C120" s="6">
        <f>14.933*M58</f>
        <v>14.817642792565026</v>
      </c>
      <c r="D120" s="6">
        <f>14.749*M58</f>
        <v>14.635064189884256</v>
      </c>
      <c r="E120" s="8" t="s">
        <v>27</v>
      </c>
    </row>
    <row r="121" spans="1:5" ht="15.75" customHeight="1" x14ac:dyDescent="0.3">
      <c r="A121" s="1" t="s">
        <v>29</v>
      </c>
      <c r="B121" s="7"/>
      <c r="C121" s="7"/>
      <c r="D121" s="7"/>
      <c r="E121" s="7"/>
    </row>
    <row r="122" spans="1:5" ht="15.75" customHeight="1" x14ac:dyDescent="0.3">
      <c r="A122" s="1" t="s">
        <v>31</v>
      </c>
      <c r="B122" s="1">
        <f>14.933*M58</f>
        <v>14.817642792565026</v>
      </c>
      <c r="C122" s="1">
        <f>14.883*M58</f>
        <v>14.768029041836556</v>
      </c>
      <c r="D122" s="1">
        <f>14.675*M58</f>
        <v>14.561635838806119</v>
      </c>
      <c r="E122" s="3" t="s">
        <v>32</v>
      </c>
    </row>
    <row r="123" spans="1:5" ht="15.75" customHeight="1" x14ac:dyDescent="0.3">
      <c r="A123" s="1" t="s">
        <v>33</v>
      </c>
      <c r="B123" s="6">
        <f>14.9*M58</f>
        <v>14.784897717084236</v>
      </c>
      <c r="C123" s="6">
        <f>14.899*M58</f>
        <v>14.783905442069665</v>
      </c>
      <c r="D123" s="6">
        <f>14.766*M58</f>
        <v>14.651932865131934</v>
      </c>
      <c r="E123" s="8" t="s">
        <v>35</v>
      </c>
    </row>
    <row r="124" spans="1:5" ht="15.75" customHeight="1" x14ac:dyDescent="0.3">
      <c r="A124" s="1" t="s">
        <v>36</v>
      </c>
      <c r="B124" s="7"/>
      <c r="C124" s="7"/>
      <c r="D124" s="7"/>
      <c r="E124" s="7"/>
    </row>
    <row r="125" spans="1:5" ht="15.75" customHeight="1" x14ac:dyDescent="0.3">
      <c r="A125" s="1" t="s">
        <v>37</v>
      </c>
      <c r="B125" s="1">
        <f>15.691*O58</f>
        <v>14.934003970440729</v>
      </c>
      <c r="C125" s="1">
        <f>15.516*O58</f>
        <v>14.767446664034056</v>
      </c>
      <c r="D125" s="1">
        <f>15.449*O58</f>
        <v>14.703679009581213</v>
      </c>
      <c r="E125" s="3" t="s">
        <v>38</v>
      </c>
    </row>
    <row r="126" spans="1:5" ht="15.75" customHeight="1" x14ac:dyDescent="0.3">
      <c r="A126" s="1" t="s">
        <v>39</v>
      </c>
      <c r="B126" s="1">
        <f>15.8*O58</f>
        <v>15.037745378431174</v>
      </c>
      <c r="C126" s="1">
        <f>15.733*O58</f>
        <v>14.973977723978331</v>
      </c>
      <c r="D126" s="1">
        <f>15.7*O58</f>
        <v>14.942569774770215</v>
      </c>
      <c r="E126" s="3" t="s">
        <v>40</v>
      </c>
    </row>
    <row r="127" spans="1:5" ht="15.75" customHeight="1" x14ac:dyDescent="0.3">
      <c r="A127" s="1" t="s">
        <v>41</v>
      </c>
      <c r="B127" s="1">
        <f>15.416*O58</f>
        <v>14.672271060373099</v>
      </c>
      <c r="C127" s="1">
        <f>15.33*O58</f>
        <v>14.590420041224675</v>
      </c>
      <c r="D127" s="1">
        <f>15.199*O58</f>
        <v>14.465740000428822</v>
      </c>
      <c r="E127" s="3" t="s">
        <v>42</v>
      </c>
    </row>
    <row r="128" spans="1:5" ht="15.75" customHeight="1" x14ac:dyDescent="0.3">
      <c r="A128" s="1" t="s">
        <v>43</v>
      </c>
      <c r="B128" s="6">
        <f>15.533*O58</f>
        <v>14.783626516656417</v>
      </c>
      <c r="C128" s="6">
        <f>15.249*O58</f>
        <v>14.513327802259301</v>
      </c>
      <c r="D128" s="6">
        <f>15.233*O58</f>
        <v>14.498099705673548</v>
      </c>
      <c r="E128" s="8" t="s">
        <v>45</v>
      </c>
    </row>
    <row r="129" spans="1:5" ht="15.75" customHeight="1" x14ac:dyDescent="0.3">
      <c r="A129" s="1" t="s">
        <v>47</v>
      </c>
      <c r="B129" s="7"/>
      <c r="C129" s="7"/>
      <c r="D129" s="7"/>
      <c r="E129" s="7"/>
    </row>
    <row r="130" spans="1:5" ht="15.75" customHeight="1" x14ac:dyDescent="0.3">
      <c r="A130" s="1" t="s">
        <v>48</v>
      </c>
      <c r="B130" s="1">
        <f>16.533*Q58</f>
        <v>15.732647599045707</v>
      </c>
      <c r="C130" s="1">
        <f>16.399*Q58</f>
        <v>15.60513445694977</v>
      </c>
      <c r="D130" s="1">
        <f>16.316*Q58</f>
        <v>15.5261524360993</v>
      </c>
      <c r="E130" s="3" t="s">
        <v>49</v>
      </c>
    </row>
    <row r="131" spans="1:5" ht="15.75" customHeight="1" x14ac:dyDescent="0.3">
      <c r="A131" s="1" t="s">
        <v>50</v>
      </c>
      <c r="B131" s="1">
        <f>16.566*Q58</f>
        <v>15.76405008926336</v>
      </c>
      <c r="C131" s="1">
        <f>16.366*Q58</f>
        <v>15.573731966732113</v>
      </c>
      <c r="D131" s="1">
        <f>16.291*Q58</f>
        <v>15.502362670782896</v>
      </c>
      <c r="E131" s="3" t="s">
        <v>51</v>
      </c>
    </row>
    <row r="132" spans="1:5" ht="15.75" customHeight="1" x14ac:dyDescent="0.3">
      <c r="A132" s="1">
        <v>2010</v>
      </c>
      <c r="B132" s="1">
        <f>16.449*Q58</f>
        <v>15.652713987582583</v>
      </c>
      <c r="C132" s="1">
        <f>16.366*Q58</f>
        <v>15.573731966732113</v>
      </c>
      <c r="D132" s="1">
        <f>16.316*Q58</f>
        <v>15.5261524360993</v>
      </c>
      <c r="E132" s="3" t="s">
        <v>52</v>
      </c>
    </row>
    <row r="133" spans="1:5" ht="15.75" customHeight="1" x14ac:dyDescent="0.3">
      <c r="A133" s="1">
        <v>2009</v>
      </c>
      <c r="B133" s="1">
        <f>16.6*Q58</f>
        <v>15.796404170093675</v>
      </c>
      <c r="C133" s="1">
        <f>16.3*Q58</f>
        <v>15.510926986296802</v>
      </c>
      <c r="D133" s="1">
        <f>16.2*Q58</f>
        <v>15.415767925031176</v>
      </c>
      <c r="E133" s="3" t="s">
        <v>53</v>
      </c>
    </row>
    <row r="134" spans="1:5" ht="15.75" customHeight="1" x14ac:dyDescent="0.3">
      <c r="A134" s="1" t="s">
        <v>54</v>
      </c>
      <c r="B134" s="1">
        <f>16.537*S58</f>
        <v>15.471847239238581</v>
      </c>
      <c r="C134" s="1">
        <f>16.537*S58</f>
        <v>15.471847239238581</v>
      </c>
      <c r="D134" s="1">
        <f>16.475*S58</f>
        <v>15.413840676450123</v>
      </c>
      <c r="E134" s="1" t="s">
        <v>55</v>
      </c>
    </row>
    <row r="135" spans="1:5" ht="15.75" customHeight="1" x14ac:dyDescent="0.3">
      <c r="A135" s="1">
        <v>2007</v>
      </c>
      <c r="B135" s="1">
        <f>16.512*S58</f>
        <v>15.448457496178719</v>
      </c>
      <c r="C135" s="1">
        <f>16.5*S58</f>
        <v>15.437230419509985</v>
      </c>
      <c r="D135" s="1">
        <f>16.387*S58</f>
        <v>15.331508780879401</v>
      </c>
      <c r="E135" s="3" t="s">
        <v>56</v>
      </c>
    </row>
    <row r="136" spans="1:5" ht="15.75" customHeight="1" x14ac:dyDescent="0.3">
      <c r="A136" s="1">
        <v>2006</v>
      </c>
      <c r="B136" s="1">
        <f>16.487*S58</f>
        <v>15.425067753118855</v>
      </c>
      <c r="C136" s="1">
        <f>16.312*S58</f>
        <v>15.261339551699811</v>
      </c>
      <c r="D136" s="1">
        <f>15.825*S58</f>
        <v>14.805707356893667</v>
      </c>
      <c r="E136" s="3" t="s">
        <v>58</v>
      </c>
    </row>
    <row r="137" spans="1:5" ht="15.75" customHeight="1" x14ac:dyDescent="0.3">
      <c r="A137" s="1" t="s">
        <v>59</v>
      </c>
      <c r="B137" s="2">
        <f t="shared" ref="B137:D137" si="13">AVERAGE(B117:B136)</f>
        <v>15.172974422264565</v>
      </c>
      <c r="C137" s="2">
        <f t="shared" si="13"/>
        <v>15.065676096206259</v>
      </c>
      <c r="D137" s="2">
        <f t="shared" si="13"/>
        <v>14.946964791539004</v>
      </c>
    </row>
    <row r="138" spans="1:5" ht="15.75" customHeight="1" x14ac:dyDescent="0.3">
      <c r="A138" s="1" t="s">
        <v>84</v>
      </c>
    </row>
    <row r="139" spans="1:5" ht="15.75" customHeight="1" x14ac:dyDescent="0.3">
      <c r="A139" s="1" t="s">
        <v>11</v>
      </c>
      <c r="B139" s="1" t="s">
        <v>12</v>
      </c>
      <c r="C139" s="1" t="s">
        <v>13</v>
      </c>
      <c r="D139" s="1" t="s">
        <v>14</v>
      </c>
      <c r="E139" s="1" t="s">
        <v>15</v>
      </c>
    </row>
    <row r="140" spans="1:5" ht="15.75" customHeight="1" x14ac:dyDescent="0.3">
      <c r="A140" s="1" t="s">
        <v>17</v>
      </c>
      <c r="B140" s="1">
        <v>15.4</v>
      </c>
      <c r="C140" s="1">
        <v>15.066000000000001</v>
      </c>
      <c r="D140" s="1">
        <v>15</v>
      </c>
      <c r="E140" s="3" t="s">
        <v>18</v>
      </c>
    </row>
    <row r="141" spans="1:5" ht="15.75" customHeight="1" x14ac:dyDescent="0.3">
      <c r="A141" s="1" t="s">
        <v>20</v>
      </c>
      <c r="B141" s="1">
        <v>16.166</v>
      </c>
      <c r="C141" s="1">
        <v>15.5</v>
      </c>
      <c r="D141" s="1">
        <v>15.366</v>
      </c>
      <c r="E141" s="3" t="s">
        <v>21</v>
      </c>
    </row>
    <row r="142" spans="1:5" ht="15.75" customHeight="1" x14ac:dyDescent="0.3">
      <c r="A142" s="1" t="s">
        <v>23</v>
      </c>
      <c r="B142" s="1">
        <f>16.233*M58</f>
        <v>16.107600311505262</v>
      </c>
      <c r="C142" s="1">
        <f>15.7*M58</f>
        <v>15.578717728739765</v>
      </c>
      <c r="D142" s="1">
        <f>15.633*M58</f>
        <v>15.512235302763614</v>
      </c>
      <c r="E142" s="3" t="s">
        <v>24</v>
      </c>
    </row>
    <row r="143" spans="1:5" ht="15.75" customHeight="1" x14ac:dyDescent="0.3">
      <c r="A143" s="1" t="s">
        <v>26</v>
      </c>
      <c r="B143" s="6">
        <f>15*M58</f>
        <v>14.884125218541177</v>
      </c>
      <c r="C143" s="6">
        <f>14.983*M58</f>
        <v>14.867256543293498</v>
      </c>
      <c r="D143" s="6">
        <f>14.966*M58</f>
        <v>14.850387868045816</v>
      </c>
      <c r="E143" s="8" t="s">
        <v>27</v>
      </c>
    </row>
    <row r="144" spans="1:5" ht="15.75" customHeight="1" x14ac:dyDescent="0.3">
      <c r="A144" s="1" t="s">
        <v>29</v>
      </c>
      <c r="B144" s="7"/>
      <c r="C144" s="7"/>
      <c r="D144" s="7"/>
      <c r="E144" s="7"/>
    </row>
    <row r="145" spans="1:5" ht="15.75" customHeight="1" x14ac:dyDescent="0.3">
      <c r="A145" s="1" t="s">
        <v>31</v>
      </c>
      <c r="B145" s="1">
        <f>16.433*M58</f>
        <v>16.306055314419144</v>
      </c>
      <c r="C145" s="1">
        <f>15.591*M58</f>
        <v>15.470559752151699</v>
      </c>
      <c r="D145" s="1">
        <f>15.366*M58</f>
        <v>15.247297873873581</v>
      </c>
      <c r="E145" s="3" t="s">
        <v>32</v>
      </c>
    </row>
    <row r="146" spans="1:5" ht="15.75" customHeight="1" x14ac:dyDescent="0.3">
      <c r="A146" s="1" t="s">
        <v>33</v>
      </c>
      <c r="B146" s="6">
        <f>15.9*M58</f>
        <v>15.777172731653648</v>
      </c>
      <c r="C146" s="6">
        <f>15.833*M58</f>
        <v>15.710690305677497</v>
      </c>
      <c r="D146" s="6">
        <f>15.266*M58</f>
        <v>15.14807037241664</v>
      </c>
      <c r="E146" s="8" t="s">
        <v>35</v>
      </c>
    </row>
    <row r="147" spans="1:5" ht="15.75" customHeight="1" x14ac:dyDescent="0.3">
      <c r="A147" s="1" t="s">
        <v>36</v>
      </c>
      <c r="B147" s="7"/>
      <c r="C147" s="7"/>
      <c r="D147" s="7"/>
      <c r="E147" s="7"/>
    </row>
    <row r="148" spans="1:5" ht="15.75" customHeight="1" x14ac:dyDescent="0.3">
      <c r="A148" s="1" t="s">
        <v>37</v>
      </c>
      <c r="B148" s="1">
        <f>16.041*O58</f>
        <v>15.267118583254078</v>
      </c>
      <c r="C148" s="1">
        <f>15.9*O58</f>
        <v>15.132920982092129</v>
      </c>
      <c r="D148" s="1">
        <f>15.783*O58</f>
        <v>15.021565525808809</v>
      </c>
      <c r="E148" s="3" t="s">
        <v>38</v>
      </c>
    </row>
    <row r="149" spans="1:5" ht="15.75" customHeight="1" x14ac:dyDescent="0.3">
      <c r="A149" s="1" t="s">
        <v>39</v>
      </c>
      <c r="B149" s="1">
        <f>16.216*O58</f>
        <v>15.433675889660753</v>
      </c>
      <c r="C149" s="1">
        <f>16.066*O58</f>
        <v>15.290912484169317</v>
      </c>
      <c r="D149" s="1">
        <f>15.966*O58</f>
        <v>15.19573688050836</v>
      </c>
      <c r="E149" s="3" t="s">
        <v>40</v>
      </c>
    </row>
    <row r="150" spans="1:5" ht="15.75" customHeight="1" x14ac:dyDescent="0.3">
      <c r="A150" s="1" t="s">
        <v>41</v>
      </c>
      <c r="B150" s="1">
        <f>16.125*O58</f>
        <v>15.347066090329282</v>
      </c>
      <c r="C150" s="1">
        <f>15.933*O58</f>
        <v>15.164328931300245</v>
      </c>
      <c r="D150" s="1">
        <f>15.666*O58</f>
        <v>14.91021006952549</v>
      </c>
      <c r="E150" s="3" t="s">
        <v>42</v>
      </c>
    </row>
    <row r="151" spans="1:5" ht="15.75" customHeight="1" x14ac:dyDescent="0.3">
      <c r="A151" s="1" t="s">
        <v>43</v>
      </c>
      <c r="B151" s="6">
        <f>15.533*O58</f>
        <v>14.783626516656417</v>
      </c>
      <c r="C151" s="6">
        <f>15.249*O58</f>
        <v>14.513327802259301</v>
      </c>
      <c r="D151" s="6">
        <f>15.233*O58</f>
        <v>14.498099705673548</v>
      </c>
      <c r="E151" s="8" t="s">
        <v>45</v>
      </c>
    </row>
    <row r="152" spans="1:5" ht="15.75" customHeight="1" x14ac:dyDescent="0.3">
      <c r="A152" s="1" t="s">
        <v>47</v>
      </c>
      <c r="B152" s="7"/>
      <c r="C152" s="7"/>
      <c r="D152" s="7"/>
      <c r="E152" s="7"/>
    </row>
    <row r="153" spans="1:5" ht="15.75" customHeight="1" x14ac:dyDescent="0.3">
      <c r="A153" s="1" t="s">
        <v>48</v>
      </c>
      <c r="B153" s="1">
        <f>15.966*Q58</f>
        <v>15.193095721669614</v>
      </c>
      <c r="C153" s="1">
        <f>15.8*Q58</f>
        <v>15.035131679968678</v>
      </c>
      <c r="D153" s="1">
        <f>15.566*Q58</f>
        <v>14.812459476607117</v>
      </c>
      <c r="E153" s="3" t="s">
        <v>49</v>
      </c>
    </row>
    <row r="154" spans="1:5" ht="15.75" customHeight="1" x14ac:dyDescent="0.3">
      <c r="A154" s="1" t="s">
        <v>50</v>
      </c>
      <c r="B154" s="1">
        <f>15.633*Q58</f>
        <v>14.876216047655085</v>
      </c>
      <c r="C154" s="1">
        <f>15.533*Q58</f>
        <v>14.78105698638946</v>
      </c>
      <c r="D154" s="1">
        <f>15.533*Q58</f>
        <v>14.78105698638946</v>
      </c>
      <c r="E154" s="3" t="s">
        <v>51</v>
      </c>
    </row>
    <row r="155" spans="1:5" ht="15.75" customHeight="1" x14ac:dyDescent="0.3">
      <c r="A155" s="1">
        <v>2010</v>
      </c>
      <c r="B155" s="1">
        <f>15.966*Q58</f>
        <v>15.193095721669614</v>
      </c>
      <c r="C155" s="1">
        <f>15.616*Q58</f>
        <v>14.860039007239928</v>
      </c>
      <c r="D155" s="1">
        <f>15.5*Q58</f>
        <v>14.749654496171804</v>
      </c>
      <c r="E155" s="3" t="s">
        <v>52</v>
      </c>
    </row>
    <row r="156" spans="1:5" ht="15.75" customHeight="1" x14ac:dyDescent="0.3">
      <c r="A156" s="1">
        <v>2009</v>
      </c>
      <c r="B156" s="1">
        <f>15.9975*Q58</f>
        <v>15.223070825968287</v>
      </c>
      <c r="C156" s="1">
        <f>15.775*Q58</f>
        <v>15.011341914652272</v>
      </c>
      <c r="D156" s="1">
        <f>15.5*Q58</f>
        <v>14.749654496171804</v>
      </c>
      <c r="E156" s="3" t="s">
        <v>53</v>
      </c>
    </row>
    <row r="157" spans="1:5" ht="15.75" customHeight="1" x14ac:dyDescent="0.3">
      <c r="A157" s="1" t="s">
        <v>54</v>
      </c>
      <c r="B157" s="1">
        <f>16.45*S58</f>
        <v>15.390450933390257</v>
      </c>
      <c r="C157" s="1">
        <f>16.25*S58</f>
        <v>15.203332988911349</v>
      </c>
      <c r="D157" s="1">
        <f>16.2*S58</f>
        <v>15.156553502791621</v>
      </c>
      <c r="E157" s="1" t="s">
        <v>55</v>
      </c>
    </row>
    <row r="158" spans="1:5" ht="15.75" customHeight="1" x14ac:dyDescent="0.3">
      <c r="A158" s="1">
        <v>2007</v>
      </c>
      <c r="B158" s="1">
        <f>16.25*S58</f>
        <v>15.203332988911349</v>
      </c>
      <c r="C158" s="1">
        <f>16.25*S58</f>
        <v>15.203332988911349</v>
      </c>
      <c r="D158" s="1">
        <f>16.2*S58</f>
        <v>15.156553502791621</v>
      </c>
      <c r="E158" s="3" t="s">
        <v>56</v>
      </c>
    </row>
    <row r="159" spans="1:5" ht="15.75" customHeight="1" x14ac:dyDescent="0.3">
      <c r="A159" s="1">
        <v>2006</v>
      </c>
      <c r="B159" s="1">
        <f>16.075*S58</f>
        <v>15.039604787492303</v>
      </c>
      <c r="C159" s="1">
        <f>15.95*S58</f>
        <v>14.922656072192984</v>
      </c>
      <c r="D159" s="1">
        <f>15.95*S58</f>
        <v>14.922656072192984</v>
      </c>
      <c r="E159" s="3" t="s">
        <v>58</v>
      </c>
    </row>
    <row r="160" spans="1:5" ht="15.75" customHeight="1" x14ac:dyDescent="0.3">
      <c r="A160" s="1" t="s">
        <v>59</v>
      </c>
      <c r="B160" s="2">
        <f t="shared" ref="B160:D160" si="14">AVERAGE(B140:B159)</f>
        <v>15.387723981339782</v>
      </c>
      <c r="C160" s="2">
        <f t="shared" si="14"/>
        <v>15.135976833408794</v>
      </c>
      <c r="D160" s="2">
        <f t="shared" si="14"/>
        <v>15.004599537160722</v>
      </c>
    </row>
    <row r="161" spans="1:20" ht="15.75" customHeight="1" x14ac:dyDescent="0.3">
      <c r="A161" s="1" t="s">
        <v>85</v>
      </c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3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15</v>
      </c>
    </row>
    <row r="163" spans="1:20" ht="15.75" customHeight="1" x14ac:dyDescent="0.3">
      <c r="A163" s="1" t="s">
        <v>17</v>
      </c>
      <c r="B163" s="1">
        <v>15.233000000000001</v>
      </c>
      <c r="C163" s="1">
        <v>14.7</v>
      </c>
      <c r="D163" s="1">
        <v>14.5</v>
      </c>
      <c r="E163" s="3" t="s">
        <v>18</v>
      </c>
    </row>
    <row r="164" spans="1:20" ht="15.75" customHeight="1" x14ac:dyDescent="0.3">
      <c r="A164" s="1" t="s">
        <v>20</v>
      </c>
      <c r="B164" s="1">
        <v>14.8</v>
      </c>
      <c r="C164" s="1">
        <v>14.7</v>
      </c>
      <c r="D164" s="1">
        <v>14.465999999999999</v>
      </c>
      <c r="E164" s="3" t="s">
        <v>21</v>
      </c>
    </row>
    <row r="165" spans="1:20" ht="15.75" customHeight="1" x14ac:dyDescent="0.3">
      <c r="A165" s="1" t="s">
        <v>23</v>
      </c>
      <c r="B165" s="1">
        <f>15.066*M58</f>
        <v>14.949615369502759</v>
      </c>
      <c r="C165" s="1">
        <f>14.9*M58</f>
        <v>14.784897717084236</v>
      </c>
      <c r="D165" s="1">
        <f>14.533*M58</f>
        <v>14.420732786737261</v>
      </c>
      <c r="E165" s="3" t="s">
        <v>24</v>
      </c>
    </row>
    <row r="166" spans="1:20" ht="15.75" customHeight="1" x14ac:dyDescent="0.3">
      <c r="A166" s="1" t="s">
        <v>26</v>
      </c>
      <c r="B166" s="6">
        <f>14.9*M58</f>
        <v>14.784897717084236</v>
      </c>
      <c r="C166" s="6">
        <f>14.666*M58</f>
        <v>14.552705363674994</v>
      </c>
      <c r="D166" s="6">
        <f>14.533*M58</f>
        <v>14.420732786737261</v>
      </c>
      <c r="E166" s="8" t="s">
        <v>27</v>
      </c>
    </row>
    <row r="167" spans="1:20" ht="15.75" customHeight="1" x14ac:dyDescent="0.3">
      <c r="A167" s="1" t="s">
        <v>29</v>
      </c>
      <c r="B167" s="7"/>
      <c r="C167" s="7"/>
      <c r="D167" s="7"/>
      <c r="E167" s="7"/>
    </row>
    <row r="168" spans="1:20" ht="15.75" customHeight="1" x14ac:dyDescent="0.3">
      <c r="A168" s="1" t="s">
        <v>31</v>
      </c>
      <c r="B168" s="1">
        <f>15.1*M58</f>
        <v>14.983352719998118</v>
      </c>
      <c r="C168" s="1">
        <f>14.8*M58</f>
        <v>14.685670215627296</v>
      </c>
      <c r="D168" s="1">
        <f>14.533*M58</f>
        <v>14.420732786737261</v>
      </c>
      <c r="E168" s="3" t="s">
        <v>32</v>
      </c>
    </row>
    <row r="169" spans="1:20" ht="15.75" customHeight="1" x14ac:dyDescent="0.3">
      <c r="A169" s="1" t="s">
        <v>33</v>
      </c>
      <c r="B169" s="6">
        <f>14.233*M58</f>
        <v>14.123050282366439</v>
      </c>
      <c r="C169" s="6">
        <f>14.233*M58</f>
        <v>14.123050282366439</v>
      </c>
      <c r="D169" s="6">
        <f>14.2*M58</f>
        <v>14.090305206885647</v>
      </c>
      <c r="E169" s="8" t="s">
        <v>35</v>
      </c>
    </row>
    <row r="170" spans="1:20" ht="15.75" customHeight="1" x14ac:dyDescent="0.3">
      <c r="A170" s="1" t="s">
        <v>36</v>
      </c>
      <c r="B170" s="7"/>
      <c r="C170" s="7"/>
      <c r="D170" s="7"/>
      <c r="E170" s="7"/>
    </row>
    <row r="171" spans="1:20" ht="15.75" customHeight="1" x14ac:dyDescent="0.3">
      <c r="A171" s="1" t="s">
        <v>37</v>
      </c>
      <c r="B171" s="1">
        <f>15.766*O58</f>
        <v>15.005385673186447</v>
      </c>
      <c r="C171" s="1">
        <f>15.5*O58</f>
        <v>14.752218567448303</v>
      </c>
      <c r="D171" s="1">
        <f>15.466*O58</f>
        <v>14.719858862203576</v>
      </c>
      <c r="E171" s="3" t="s">
        <v>38</v>
      </c>
    </row>
    <row r="172" spans="1:20" ht="15.75" customHeight="1" x14ac:dyDescent="0.3">
      <c r="A172" s="1" t="s">
        <v>39</v>
      </c>
      <c r="B172" s="1">
        <f>15.833*O58</f>
        <v>15.069153327639288</v>
      </c>
      <c r="C172" s="1">
        <f>15.7*O58</f>
        <v>14.942569774770215</v>
      </c>
      <c r="D172" s="1">
        <f>15.6*O58</f>
        <v>14.847394171109258</v>
      </c>
      <c r="E172" s="3" t="s">
        <v>40</v>
      </c>
    </row>
    <row r="173" spans="1:20" ht="15.75" customHeight="1" x14ac:dyDescent="0.3">
      <c r="A173" s="1" t="s">
        <v>41</v>
      </c>
      <c r="B173" s="1">
        <f>16.225*O58</f>
        <v>15.44224169399024</v>
      </c>
      <c r="C173" s="1">
        <f>15.725*O58</f>
        <v>14.966363675685454</v>
      </c>
      <c r="D173" s="1">
        <f>15*O58</f>
        <v>14.276340549143518</v>
      </c>
      <c r="E173" s="3" t="s">
        <v>42</v>
      </c>
    </row>
    <row r="174" spans="1:20" ht="15.75" customHeight="1" x14ac:dyDescent="0.3">
      <c r="A174" s="1" t="s">
        <v>43</v>
      </c>
      <c r="B174" s="6">
        <f>16*O58</f>
        <v>15.228096585753086</v>
      </c>
      <c r="C174" s="6">
        <f>15.933*O58</f>
        <v>15.164328931300245</v>
      </c>
      <c r="D174" s="6">
        <f>15.633*O58</f>
        <v>14.878802120317374</v>
      </c>
      <c r="E174" s="8" t="s">
        <v>45</v>
      </c>
    </row>
    <row r="175" spans="1:20" ht="15.75" customHeight="1" x14ac:dyDescent="0.3">
      <c r="A175" s="1" t="s">
        <v>47</v>
      </c>
      <c r="B175" s="7"/>
      <c r="C175" s="7"/>
      <c r="D175" s="7"/>
      <c r="E175" s="7"/>
    </row>
    <row r="176" spans="1:20" ht="15.75" customHeight="1" x14ac:dyDescent="0.3">
      <c r="A176" s="1" t="s">
        <v>48</v>
      </c>
      <c r="B176" s="1">
        <f>16.533*Q58</f>
        <v>15.732647599045707</v>
      </c>
      <c r="C176" s="1">
        <f>16.4*Q58</f>
        <v>15.606086047562425</v>
      </c>
      <c r="D176" s="1">
        <f>16.366*Q58</f>
        <v>15.573731966732113</v>
      </c>
      <c r="E176" s="3" t="s">
        <v>49</v>
      </c>
    </row>
    <row r="177" spans="1:5" ht="15.75" customHeight="1" x14ac:dyDescent="0.3">
      <c r="A177" s="1" t="s">
        <v>50</v>
      </c>
      <c r="B177" s="1">
        <f>16.441*Q58</f>
        <v>15.645101262681331</v>
      </c>
      <c r="C177" s="1">
        <f>16.366*Q58</f>
        <v>15.573731966732113</v>
      </c>
      <c r="D177" s="1">
        <f>16.333*Q58</f>
        <v>15.542329476514455</v>
      </c>
      <c r="E177" s="3" t="s">
        <v>51</v>
      </c>
    </row>
    <row r="178" spans="1:5" ht="15.75" customHeight="1" x14ac:dyDescent="0.3">
      <c r="A178" s="1">
        <v>2010</v>
      </c>
      <c r="B178" s="1">
        <f>16.166*Q58</f>
        <v>15.383413844200865</v>
      </c>
      <c r="C178" s="1">
        <f>16.033*Q58</f>
        <v>15.256852292717584</v>
      </c>
      <c r="D178" s="1">
        <f>15.966*Q58</f>
        <v>15.193095721669614</v>
      </c>
      <c r="E178" s="3" t="s">
        <v>52</v>
      </c>
    </row>
    <row r="179" spans="1:5" ht="15.75" customHeight="1" x14ac:dyDescent="0.3">
      <c r="A179" s="1">
        <v>2009</v>
      </c>
      <c r="B179" s="1">
        <f>16.15*Q58</f>
        <v>15.368188394398363</v>
      </c>
      <c r="C179" s="1">
        <f>15.825*Q58</f>
        <v>15.058921445285083</v>
      </c>
      <c r="D179" s="1">
        <f>15.625*Q58</f>
        <v>14.868603322753835</v>
      </c>
      <c r="E179" s="3" t="s">
        <v>53</v>
      </c>
    </row>
    <row r="180" spans="1:5" ht="15.75" customHeight="1" x14ac:dyDescent="0.3">
      <c r="A180" s="1" t="s">
        <v>54</v>
      </c>
      <c r="B180" s="1">
        <f>16.45*S58</f>
        <v>15.390450933390257</v>
      </c>
      <c r="C180" s="1">
        <f>16.25*S58</f>
        <v>15.203332988911349</v>
      </c>
      <c r="D180" s="1">
        <f>16.2*S58</f>
        <v>15.156553502791621</v>
      </c>
      <c r="E180" s="1" t="s">
        <v>55</v>
      </c>
    </row>
    <row r="181" spans="1:5" ht="15.75" customHeight="1" x14ac:dyDescent="0.3">
      <c r="A181" s="1">
        <v>2007</v>
      </c>
      <c r="B181" s="1">
        <f>16.25*S58</f>
        <v>15.203332988911349</v>
      </c>
      <c r="C181" s="1">
        <f>15.825*S58</f>
        <v>14.805707356893667</v>
      </c>
      <c r="D181" s="1">
        <f>15.775*S58</f>
        <v>14.75892787077394</v>
      </c>
      <c r="E181" s="3" t="s">
        <v>56</v>
      </c>
    </row>
    <row r="182" spans="1:5" ht="15.75" customHeight="1" x14ac:dyDescent="0.3">
      <c r="A182" s="1">
        <v>2006</v>
      </c>
      <c r="B182" s="1">
        <f>16.125*S58</f>
        <v>15.08638427361203</v>
      </c>
      <c r="C182" s="1">
        <f>15.9*S58</f>
        <v>14.875876586073257</v>
      </c>
      <c r="D182" s="1">
        <f>15.8*S58</f>
        <v>14.782317613833804</v>
      </c>
      <c r="E182" s="3" t="s">
        <v>58</v>
      </c>
    </row>
    <row r="183" spans="1:5" ht="15.75" customHeight="1" x14ac:dyDescent="0.3">
      <c r="A183" s="1" t="s">
        <v>59</v>
      </c>
      <c r="B183" s="2">
        <f t="shared" ref="B183:D183" si="15">AVERAGE(B163:B182)</f>
        <v>15.142841921515325</v>
      </c>
      <c r="C183" s="2">
        <f t="shared" si="15"/>
        <v>14.926606659537214</v>
      </c>
      <c r="D183" s="2">
        <f t="shared" si="15"/>
        <v>14.759791690878856</v>
      </c>
    </row>
    <row r="184" spans="1:5" ht="15.75" customHeight="1" x14ac:dyDescent="0.3">
      <c r="A184" s="1"/>
    </row>
    <row r="185" spans="1:5" ht="15.75" customHeight="1" x14ac:dyDescent="0.3">
      <c r="A185" s="1"/>
    </row>
    <row r="186" spans="1:5" ht="15.75" customHeight="1" x14ac:dyDescent="0.3">
      <c r="A186" s="1"/>
      <c r="B186" s="1"/>
      <c r="C186" s="1"/>
      <c r="D186" s="1"/>
      <c r="E186" s="1"/>
    </row>
    <row r="187" spans="1:5" ht="15.75" customHeight="1" x14ac:dyDescent="0.3">
      <c r="A187" s="1"/>
      <c r="B187" s="1"/>
      <c r="C187" s="1"/>
      <c r="D187" s="1"/>
      <c r="E187" s="3"/>
    </row>
    <row r="188" spans="1:5" ht="15.75" customHeight="1" x14ac:dyDescent="0.3">
      <c r="A188" s="1"/>
      <c r="B188" s="1"/>
      <c r="C188" s="1"/>
      <c r="D188" s="1"/>
      <c r="E188" s="3"/>
    </row>
    <row r="189" spans="1:5" ht="15.75" customHeight="1" x14ac:dyDescent="0.3">
      <c r="A189" s="1"/>
      <c r="B189" s="1"/>
      <c r="C189" s="1"/>
      <c r="D189" s="1"/>
      <c r="E189" s="3"/>
    </row>
    <row r="190" spans="1:5" ht="15.75" customHeight="1" x14ac:dyDescent="0.3">
      <c r="A190" s="1"/>
      <c r="B190" s="6"/>
      <c r="C190" s="6"/>
      <c r="D190" s="6"/>
      <c r="E190" s="8"/>
    </row>
    <row r="191" spans="1:5" ht="15.75" customHeight="1" x14ac:dyDescent="0.3">
      <c r="A191" s="1"/>
      <c r="B191" s="7"/>
      <c r="C191" s="7"/>
      <c r="D191" s="7"/>
      <c r="E191" s="7"/>
    </row>
    <row r="192" spans="1:5" ht="15.75" customHeight="1" x14ac:dyDescent="0.3">
      <c r="A192" s="1"/>
      <c r="B192" s="1"/>
      <c r="C192" s="1"/>
      <c r="D192" s="1"/>
      <c r="E192" s="3"/>
    </row>
    <row r="193" spans="1:5" ht="15.75" customHeight="1" x14ac:dyDescent="0.3">
      <c r="A193" s="1"/>
      <c r="B193" s="6"/>
      <c r="C193" s="6"/>
      <c r="D193" s="6"/>
      <c r="E193" s="8"/>
    </row>
    <row r="194" spans="1:5" ht="15.75" customHeight="1" x14ac:dyDescent="0.3">
      <c r="A194" s="1"/>
      <c r="B194" s="7"/>
      <c r="C194" s="7"/>
      <c r="D194" s="7"/>
      <c r="E194" s="7"/>
    </row>
    <row r="195" spans="1:5" ht="15.75" customHeight="1" x14ac:dyDescent="0.3">
      <c r="A195" s="1"/>
      <c r="B195" s="1"/>
      <c r="C195" s="1"/>
      <c r="D195" s="1"/>
      <c r="E195" s="3"/>
    </row>
    <row r="196" spans="1:5" ht="15.75" customHeight="1" x14ac:dyDescent="0.3">
      <c r="A196" s="1"/>
      <c r="B196" s="1"/>
      <c r="C196" s="1"/>
      <c r="D196" s="1"/>
      <c r="E196" s="3"/>
    </row>
    <row r="197" spans="1:5" ht="15.75" customHeight="1" x14ac:dyDescent="0.3">
      <c r="A197" s="1"/>
      <c r="B197" s="1"/>
      <c r="C197" s="1"/>
      <c r="D197" s="1"/>
      <c r="E197" s="3"/>
    </row>
    <row r="198" spans="1:5" ht="15.75" customHeight="1" x14ac:dyDescent="0.3">
      <c r="A198" s="1"/>
      <c r="B198" s="6"/>
      <c r="C198" s="6"/>
      <c r="D198" s="6"/>
      <c r="E198" s="8"/>
    </row>
    <row r="199" spans="1:5" ht="15.75" customHeight="1" x14ac:dyDescent="0.3">
      <c r="A199" s="1"/>
      <c r="B199" s="7"/>
      <c r="C199" s="7"/>
      <c r="D199" s="7"/>
      <c r="E199" s="7"/>
    </row>
    <row r="200" spans="1:5" ht="15.75" customHeight="1" x14ac:dyDescent="0.3">
      <c r="A200" s="1"/>
      <c r="B200" s="1"/>
      <c r="C200" s="1"/>
      <c r="D200" s="1"/>
      <c r="E200" s="3"/>
    </row>
    <row r="201" spans="1:5" ht="15.75" customHeight="1" x14ac:dyDescent="0.3">
      <c r="A201" s="1"/>
      <c r="B201" s="1"/>
      <c r="C201" s="1"/>
      <c r="D201" s="1"/>
      <c r="E201" s="3"/>
    </row>
    <row r="202" spans="1:5" ht="15.75" customHeight="1" x14ac:dyDescent="0.3">
      <c r="A202" s="1"/>
      <c r="B202" s="1"/>
      <c r="C202" s="1"/>
      <c r="D202" s="1"/>
      <c r="E202" s="3"/>
    </row>
    <row r="203" spans="1:5" ht="15.75" customHeight="1" x14ac:dyDescent="0.3">
      <c r="A203" s="1"/>
      <c r="B203" s="1"/>
      <c r="C203" s="1"/>
      <c r="D203" s="1"/>
      <c r="E203" s="3"/>
    </row>
    <row r="204" spans="1:5" ht="15.75" customHeight="1" x14ac:dyDescent="0.3">
      <c r="A204" s="1"/>
      <c r="B204" s="1"/>
      <c r="C204" s="1"/>
      <c r="D204" s="1"/>
      <c r="E204" s="1"/>
    </row>
    <row r="205" spans="1:5" ht="15.75" customHeight="1" x14ac:dyDescent="0.3">
      <c r="A205" s="1"/>
      <c r="B205" s="1"/>
      <c r="C205" s="1"/>
      <c r="D205" s="1"/>
      <c r="E205" s="3"/>
    </row>
    <row r="206" spans="1:5" ht="15.75" customHeight="1" x14ac:dyDescent="0.3">
      <c r="A206" s="1"/>
      <c r="B206" s="1"/>
      <c r="C206" s="1"/>
      <c r="D206" s="1"/>
      <c r="E206" s="3"/>
    </row>
    <row r="207" spans="1:5" ht="15.75" customHeight="1" x14ac:dyDescent="0.3">
      <c r="A207" s="1"/>
    </row>
    <row r="208" spans="1:5" ht="15.75" customHeight="1" x14ac:dyDescent="0.3">
      <c r="A208" s="1"/>
    </row>
    <row r="209" spans="1:5" ht="15.75" customHeight="1" x14ac:dyDescent="0.3">
      <c r="A209" s="1"/>
      <c r="B209" s="1"/>
      <c r="C209" s="1"/>
      <c r="D209" s="1"/>
      <c r="E209" s="1"/>
    </row>
    <row r="210" spans="1:5" ht="15.75" customHeight="1" x14ac:dyDescent="0.3">
      <c r="A210" s="1"/>
      <c r="B210" s="1"/>
      <c r="C210" s="1"/>
      <c r="D210" s="1"/>
      <c r="E210" s="3"/>
    </row>
    <row r="211" spans="1:5" ht="15.75" customHeight="1" x14ac:dyDescent="0.3">
      <c r="A211" s="1"/>
      <c r="B211" s="1"/>
      <c r="C211" s="1"/>
      <c r="D211" s="1"/>
      <c r="E211" s="3"/>
    </row>
    <row r="212" spans="1:5" ht="15.75" customHeight="1" x14ac:dyDescent="0.3">
      <c r="A212" s="1"/>
      <c r="B212" s="1"/>
      <c r="C212" s="1"/>
      <c r="D212" s="1"/>
      <c r="E212" s="3"/>
    </row>
    <row r="213" spans="1:5" ht="15.75" customHeight="1" x14ac:dyDescent="0.3">
      <c r="A213" s="1"/>
      <c r="B213" s="6"/>
      <c r="C213" s="6"/>
      <c r="D213" s="6"/>
      <c r="E213" s="8"/>
    </row>
    <row r="214" spans="1:5" ht="15.75" customHeight="1" x14ac:dyDescent="0.3">
      <c r="A214" s="1"/>
      <c r="B214" s="7"/>
      <c r="C214" s="7"/>
      <c r="D214" s="7"/>
      <c r="E214" s="7"/>
    </row>
    <row r="215" spans="1:5" ht="15.75" customHeight="1" x14ac:dyDescent="0.3">
      <c r="A215" s="1"/>
      <c r="B215" s="1"/>
      <c r="C215" s="1"/>
      <c r="D215" s="1"/>
      <c r="E215" s="3"/>
    </row>
    <row r="216" spans="1:5" ht="15.75" customHeight="1" x14ac:dyDescent="0.3">
      <c r="A216" s="1"/>
      <c r="B216" s="6"/>
      <c r="C216" s="6"/>
      <c r="D216" s="6"/>
      <c r="E216" s="8"/>
    </row>
    <row r="217" spans="1:5" ht="15.75" customHeight="1" x14ac:dyDescent="0.3">
      <c r="A217" s="1"/>
      <c r="B217" s="7"/>
      <c r="C217" s="7"/>
      <c r="D217" s="7"/>
      <c r="E217" s="7"/>
    </row>
    <row r="218" spans="1:5" ht="15.75" customHeight="1" x14ac:dyDescent="0.3">
      <c r="A218" s="1"/>
      <c r="B218" s="1"/>
      <c r="C218" s="1"/>
      <c r="D218" s="1"/>
      <c r="E218" s="3"/>
    </row>
    <row r="219" spans="1:5" ht="15.75" customHeight="1" x14ac:dyDescent="0.3">
      <c r="A219" s="1"/>
      <c r="B219" s="1"/>
      <c r="C219" s="1"/>
      <c r="D219" s="1"/>
      <c r="E219" s="3"/>
    </row>
    <row r="220" spans="1:5" ht="15.75" customHeight="1" x14ac:dyDescent="0.3">
      <c r="A220" s="1"/>
      <c r="B220" s="1"/>
      <c r="C220" s="1"/>
      <c r="D220" s="1"/>
      <c r="E220" s="3"/>
    </row>
    <row r="221" spans="1:5" ht="15.75" customHeight="1" x14ac:dyDescent="0.3">
      <c r="A221" s="1"/>
      <c r="B221" s="6"/>
      <c r="C221" s="6"/>
      <c r="D221" s="6"/>
      <c r="E221" s="8"/>
    </row>
    <row r="222" spans="1:5" ht="15.75" customHeight="1" x14ac:dyDescent="0.3">
      <c r="A222" s="1"/>
      <c r="B222" s="7"/>
      <c r="C222" s="7"/>
      <c r="D222" s="7"/>
      <c r="E222" s="7"/>
    </row>
    <row r="223" spans="1:5" ht="15.75" customHeight="1" x14ac:dyDescent="0.3">
      <c r="A223" s="1"/>
      <c r="B223" s="1"/>
      <c r="C223" s="1"/>
      <c r="D223" s="1"/>
      <c r="E223" s="3"/>
    </row>
    <row r="224" spans="1:5" ht="15.75" customHeight="1" x14ac:dyDescent="0.3">
      <c r="A224" s="1"/>
      <c r="B224" s="1"/>
      <c r="C224" s="1"/>
      <c r="D224" s="1"/>
      <c r="E224" s="3"/>
    </row>
    <row r="225" spans="1:5" ht="15.75" customHeight="1" x14ac:dyDescent="0.3">
      <c r="A225" s="1"/>
      <c r="B225" s="1"/>
      <c r="C225" s="1"/>
      <c r="D225" s="1"/>
      <c r="E225" s="3"/>
    </row>
    <row r="226" spans="1:5" ht="15.75" customHeight="1" x14ac:dyDescent="0.3">
      <c r="A226" s="1"/>
      <c r="B226" s="1"/>
      <c r="C226" s="1"/>
      <c r="D226" s="1"/>
      <c r="E226" s="3"/>
    </row>
    <row r="227" spans="1:5" ht="15.75" customHeight="1" x14ac:dyDescent="0.3">
      <c r="A227" s="1"/>
      <c r="B227" s="1"/>
      <c r="C227" s="1"/>
      <c r="D227" s="1"/>
      <c r="E227" s="1"/>
    </row>
    <row r="228" spans="1:5" ht="15.75" customHeight="1" x14ac:dyDescent="0.3">
      <c r="A228" s="1"/>
      <c r="B228" s="1"/>
      <c r="C228" s="1"/>
      <c r="D228" s="1"/>
      <c r="E228" s="3"/>
    </row>
    <row r="229" spans="1:5" ht="15.75" customHeight="1" x14ac:dyDescent="0.3">
      <c r="A229" s="1"/>
      <c r="B229" s="1"/>
      <c r="C229" s="1"/>
      <c r="D229" s="1"/>
      <c r="E229" s="3"/>
    </row>
    <row r="230" spans="1:5" ht="15.75" customHeight="1" x14ac:dyDescent="0.3">
      <c r="A230" s="1"/>
    </row>
    <row r="231" spans="1:5" ht="15.75" customHeight="1" x14ac:dyDescent="0.3">
      <c r="A231" s="1"/>
    </row>
    <row r="232" spans="1:5" ht="15.75" customHeight="1" x14ac:dyDescent="0.3">
      <c r="A232" s="1"/>
      <c r="B232" s="1"/>
      <c r="C232" s="1"/>
      <c r="D232" s="1"/>
      <c r="E232" s="1"/>
    </row>
    <row r="233" spans="1:5" ht="15.75" customHeight="1" x14ac:dyDescent="0.3">
      <c r="A233" s="1"/>
      <c r="B233" s="1"/>
      <c r="C233" s="1"/>
      <c r="D233" s="1"/>
      <c r="E233" s="3"/>
    </row>
    <row r="234" spans="1:5" ht="15.75" customHeight="1" x14ac:dyDescent="0.3">
      <c r="A234" s="1"/>
      <c r="B234" s="1"/>
      <c r="C234" s="1"/>
      <c r="D234" s="1"/>
      <c r="E234" s="3"/>
    </row>
    <row r="235" spans="1:5" ht="15.75" customHeight="1" x14ac:dyDescent="0.3">
      <c r="A235" s="1"/>
      <c r="B235" s="1"/>
      <c r="C235" s="1"/>
      <c r="D235" s="1"/>
      <c r="E235" s="3"/>
    </row>
    <row r="236" spans="1:5" ht="15.75" customHeight="1" x14ac:dyDescent="0.3">
      <c r="A236" s="1"/>
      <c r="B236" s="6"/>
      <c r="C236" s="6"/>
      <c r="D236" s="6"/>
      <c r="E236" s="8"/>
    </row>
    <row r="237" spans="1:5" ht="15.75" customHeight="1" x14ac:dyDescent="0.3">
      <c r="A237" s="1"/>
      <c r="B237" s="7"/>
      <c r="C237" s="7"/>
      <c r="D237" s="7"/>
      <c r="E237" s="7"/>
    </row>
    <row r="238" spans="1:5" ht="15.75" customHeight="1" x14ac:dyDescent="0.3">
      <c r="A238" s="1"/>
      <c r="B238" s="1"/>
      <c r="C238" s="1"/>
      <c r="D238" s="1"/>
      <c r="E238" s="3"/>
    </row>
    <row r="239" spans="1:5" ht="15.75" customHeight="1" x14ac:dyDescent="0.3">
      <c r="A239" s="1"/>
      <c r="B239" s="6"/>
      <c r="C239" s="6"/>
      <c r="D239" s="6"/>
      <c r="E239" s="8"/>
    </row>
    <row r="240" spans="1:5" ht="15.75" customHeight="1" x14ac:dyDescent="0.3">
      <c r="A240" s="1"/>
      <c r="B240" s="7"/>
      <c r="C240" s="7"/>
      <c r="D240" s="7"/>
      <c r="E240" s="7"/>
    </row>
    <row r="241" spans="1:5" ht="15.75" customHeight="1" x14ac:dyDescent="0.3">
      <c r="A241" s="1"/>
      <c r="B241" s="1"/>
      <c r="C241" s="1"/>
      <c r="D241" s="1"/>
      <c r="E241" s="3"/>
    </row>
    <row r="242" spans="1:5" ht="15.75" customHeight="1" x14ac:dyDescent="0.3">
      <c r="A242" s="1"/>
      <c r="B242" s="1"/>
      <c r="C242" s="1"/>
      <c r="D242" s="1"/>
      <c r="E242" s="3"/>
    </row>
    <row r="243" spans="1:5" ht="15.75" customHeight="1" x14ac:dyDescent="0.3">
      <c r="A243" s="1"/>
      <c r="B243" s="1"/>
      <c r="C243" s="1"/>
      <c r="D243" s="1"/>
      <c r="E243" s="3"/>
    </row>
    <row r="244" spans="1:5" ht="15.75" customHeight="1" x14ac:dyDescent="0.3">
      <c r="A244" s="1"/>
      <c r="B244" s="6"/>
      <c r="C244" s="6"/>
      <c r="D244" s="6"/>
      <c r="E244" s="8"/>
    </row>
    <row r="245" spans="1:5" ht="15.75" customHeight="1" x14ac:dyDescent="0.3">
      <c r="A245" s="1"/>
      <c r="B245" s="7"/>
      <c r="C245" s="7"/>
      <c r="D245" s="7"/>
      <c r="E245" s="7"/>
    </row>
    <row r="246" spans="1:5" ht="15.75" customHeight="1" x14ac:dyDescent="0.3">
      <c r="A246" s="1"/>
      <c r="B246" s="1"/>
      <c r="C246" s="1"/>
      <c r="D246" s="1"/>
      <c r="E246" s="3"/>
    </row>
    <row r="247" spans="1:5" ht="15.75" customHeight="1" x14ac:dyDescent="0.3">
      <c r="A247" s="1"/>
      <c r="B247" s="1"/>
      <c r="C247" s="1"/>
      <c r="D247" s="1"/>
      <c r="E247" s="3"/>
    </row>
    <row r="248" spans="1:5" ht="15.75" customHeight="1" x14ac:dyDescent="0.3">
      <c r="A248" s="1"/>
      <c r="B248" s="1"/>
      <c r="C248" s="1"/>
      <c r="D248" s="5"/>
      <c r="E248" s="3"/>
    </row>
    <row r="249" spans="1:5" ht="15.75" customHeight="1" x14ac:dyDescent="0.3">
      <c r="A249" s="1"/>
      <c r="B249" s="1"/>
      <c r="C249" s="1"/>
      <c r="D249" s="1"/>
      <c r="E249" s="3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3"/>
    </row>
    <row r="252" spans="1:5" ht="15.75" customHeight="1" x14ac:dyDescent="0.3">
      <c r="A252" s="1"/>
      <c r="B252" s="1"/>
      <c r="C252" s="1"/>
      <c r="D252" s="1"/>
      <c r="E252" s="3"/>
    </row>
    <row r="253" spans="1:5" ht="15.75" customHeight="1" x14ac:dyDescent="0.3">
      <c r="A253" s="1"/>
    </row>
    <row r="254" spans="1:5" ht="15.75" customHeight="1" x14ac:dyDescent="0.3">
      <c r="A254" s="1"/>
    </row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3"/>
    </row>
    <row r="257" spans="1:5" ht="15.75" customHeight="1" x14ac:dyDescent="0.3">
      <c r="A257" s="1"/>
      <c r="B257" s="1"/>
      <c r="C257" s="1"/>
      <c r="D257" s="1"/>
      <c r="E257" s="3"/>
    </row>
    <row r="258" spans="1:5" ht="15.75" customHeight="1" x14ac:dyDescent="0.3">
      <c r="A258" s="1"/>
      <c r="B258" s="1"/>
      <c r="C258" s="1"/>
      <c r="D258" s="1"/>
      <c r="E258" s="3"/>
    </row>
    <row r="259" spans="1:5" ht="15.75" customHeight="1" x14ac:dyDescent="0.3">
      <c r="A259" s="1"/>
      <c r="B259" s="6"/>
      <c r="C259" s="6"/>
      <c r="D259" s="6"/>
      <c r="E259" s="8"/>
    </row>
    <row r="260" spans="1:5" ht="15.75" customHeight="1" x14ac:dyDescent="0.3">
      <c r="A260" s="1"/>
      <c r="B260" s="7"/>
      <c r="C260" s="7"/>
      <c r="D260" s="7"/>
      <c r="E260" s="7"/>
    </row>
    <row r="261" spans="1:5" ht="15.75" customHeight="1" x14ac:dyDescent="0.3">
      <c r="A261" s="1"/>
      <c r="B261" s="1"/>
      <c r="C261" s="1"/>
      <c r="D261" s="1"/>
      <c r="E261" s="3"/>
    </row>
    <row r="262" spans="1:5" ht="15.75" customHeight="1" x14ac:dyDescent="0.3">
      <c r="A262" s="1"/>
      <c r="B262" s="6"/>
      <c r="C262" s="6"/>
      <c r="D262" s="6"/>
      <c r="E262" s="8"/>
    </row>
    <row r="263" spans="1:5" ht="15.75" customHeight="1" x14ac:dyDescent="0.3">
      <c r="A263" s="1"/>
      <c r="B263" s="7"/>
      <c r="C263" s="7"/>
      <c r="D263" s="7"/>
      <c r="E263" s="7"/>
    </row>
    <row r="264" spans="1:5" ht="15.75" customHeight="1" x14ac:dyDescent="0.3">
      <c r="A264" s="1"/>
      <c r="B264" s="1"/>
      <c r="C264" s="1"/>
      <c r="D264" s="1"/>
      <c r="E264" s="3"/>
    </row>
    <row r="265" spans="1:5" ht="15.75" customHeight="1" x14ac:dyDescent="0.3">
      <c r="A265" s="1"/>
      <c r="B265" s="1"/>
      <c r="C265" s="1"/>
      <c r="D265" s="1"/>
      <c r="E265" s="3"/>
    </row>
    <row r="266" spans="1:5" ht="15.75" customHeight="1" x14ac:dyDescent="0.3">
      <c r="A266" s="1"/>
      <c r="B266" s="1"/>
      <c r="C266" s="1"/>
      <c r="D266" s="1"/>
      <c r="E266" s="3"/>
    </row>
    <row r="267" spans="1:5" ht="15.75" customHeight="1" x14ac:dyDescent="0.3">
      <c r="A267" s="1"/>
      <c r="B267" s="6"/>
      <c r="C267" s="6"/>
      <c r="D267" s="6"/>
      <c r="E267" s="8"/>
    </row>
    <row r="268" spans="1:5" ht="15.75" customHeight="1" x14ac:dyDescent="0.3">
      <c r="A268" s="1"/>
      <c r="B268" s="7"/>
      <c r="C268" s="7"/>
      <c r="D268" s="7"/>
      <c r="E268" s="7"/>
    </row>
    <row r="269" spans="1:5" ht="15.75" customHeight="1" x14ac:dyDescent="0.3">
      <c r="A269" s="1"/>
      <c r="B269" s="1"/>
      <c r="C269" s="1"/>
      <c r="D269" s="1"/>
      <c r="E269" s="3"/>
    </row>
    <row r="270" spans="1:5" ht="15.75" customHeight="1" x14ac:dyDescent="0.3">
      <c r="A270" s="1"/>
      <c r="B270" s="1"/>
      <c r="C270" s="1"/>
      <c r="D270" s="1"/>
      <c r="E270" s="3"/>
    </row>
    <row r="271" spans="1:5" ht="15.75" customHeight="1" x14ac:dyDescent="0.3">
      <c r="A271" s="1"/>
      <c r="B271" s="1"/>
      <c r="C271" s="1"/>
      <c r="D271" s="1"/>
      <c r="E271" s="3"/>
    </row>
    <row r="272" spans="1:5" ht="15.75" customHeight="1" x14ac:dyDescent="0.3">
      <c r="A272" s="1"/>
      <c r="B272" s="1"/>
      <c r="C272" s="1"/>
      <c r="D272" s="1"/>
      <c r="E272" s="3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3"/>
    </row>
    <row r="275" spans="1:5" ht="15.75" customHeight="1" x14ac:dyDescent="0.3">
      <c r="A275" s="1"/>
      <c r="B275" s="1"/>
      <c r="C275" s="1"/>
      <c r="D275" s="1"/>
      <c r="E275" s="3"/>
    </row>
    <row r="276" spans="1:5" ht="15.75" customHeight="1" x14ac:dyDescent="0.3">
      <c r="A276" s="1"/>
    </row>
    <row r="277" spans="1:5" ht="15.75" customHeight="1" x14ac:dyDescent="0.3">
      <c r="A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>
      <c r="A279" s="1"/>
      <c r="B279" s="1"/>
      <c r="C279" s="1"/>
      <c r="D279" s="1"/>
      <c r="E279" s="3"/>
    </row>
    <row r="280" spans="1:5" ht="15.75" customHeight="1" x14ac:dyDescent="0.3">
      <c r="A280" s="1"/>
      <c r="B280" s="1"/>
      <c r="C280" s="1"/>
      <c r="D280" s="1"/>
      <c r="E280" s="3"/>
    </row>
    <row r="281" spans="1:5" ht="15.75" customHeight="1" x14ac:dyDescent="0.3">
      <c r="A281" s="1"/>
      <c r="B281" s="1"/>
      <c r="C281" s="1"/>
      <c r="D281" s="1"/>
      <c r="E281" s="3"/>
    </row>
    <row r="282" spans="1:5" ht="15.75" customHeight="1" x14ac:dyDescent="0.3">
      <c r="A282" s="1"/>
      <c r="B282" s="6"/>
      <c r="C282" s="6"/>
      <c r="D282" s="6"/>
      <c r="E282" s="8"/>
    </row>
    <row r="283" spans="1:5" ht="15.75" customHeight="1" x14ac:dyDescent="0.3">
      <c r="A283" s="1"/>
      <c r="B283" s="7"/>
      <c r="C283" s="7"/>
      <c r="D283" s="7"/>
      <c r="E283" s="7"/>
    </row>
    <row r="284" spans="1:5" ht="15.75" customHeight="1" x14ac:dyDescent="0.3">
      <c r="A284" s="1"/>
      <c r="B284" s="1"/>
      <c r="C284" s="1"/>
      <c r="D284" s="1"/>
      <c r="E284" s="3"/>
    </row>
    <row r="285" spans="1:5" ht="15.75" customHeight="1" x14ac:dyDescent="0.3">
      <c r="A285" s="1"/>
      <c r="B285" s="6"/>
      <c r="C285" s="6"/>
      <c r="D285" s="6"/>
      <c r="E285" s="8"/>
    </row>
    <row r="286" spans="1:5" ht="15.75" customHeight="1" x14ac:dyDescent="0.3">
      <c r="A286" s="1"/>
      <c r="B286" s="7"/>
      <c r="C286" s="7"/>
      <c r="D286" s="7"/>
      <c r="E286" s="7"/>
    </row>
    <row r="287" spans="1:5" ht="15.75" customHeight="1" x14ac:dyDescent="0.3">
      <c r="A287" s="1"/>
      <c r="B287" s="1"/>
      <c r="C287" s="1"/>
      <c r="D287" s="1"/>
      <c r="E287" s="3"/>
    </row>
    <row r="288" spans="1:5" ht="15.75" customHeight="1" x14ac:dyDescent="0.3">
      <c r="A288" s="1"/>
      <c r="B288" s="1"/>
      <c r="C288" s="1"/>
      <c r="D288" s="1"/>
      <c r="E288" s="3"/>
    </row>
    <row r="289" spans="1:5" ht="15.75" customHeight="1" x14ac:dyDescent="0.3">
      <c r="A289" s="1"/>
      <c r="B289" s="1"/>
      <c r="C289" s="1"/>
      <c r="D289" s="1"/>
      <c r="E289" s="3"/>
    </row>
    <row r="290" spans="1:5" ht="15.75" customHeight="1" x14ac:dyDescent="0.3">
      <c r="A290" s="1"/>
      <c r="B290" s="6"/>
      <c r="C290" s="6"/>
      <c r="D290" s="6"/>
      <c r="E290" s="8"/>
    </row>
    <row r="291" spans="1:5" ht="15.75" customHeight="1" x14ac:dyDescent="0.3">
      <c r="A291" s="1"/>
      <c r="B291" s="7"/>
      <c r="C291" s="7"/>
      <c r="D291" s="7"/>
      <c r="E291" s="7"/>
    </row>
    <row r="292" spans="1:5" ht="15.75" customHeight="1" x14ac:dyDescent="0.3">
      <c r="A292" s="1"/>
      <c r="B292" s="1"/>
      <c r="C292" s="1"/>
      <c r="D292" s="1"/>
      <c r="E292" s="3"/>
    </row>
    <row r="293" spans="1:5" ht="15.75" customHeight="1" x14ac:dyDescent="0.3">
      <c r="A293" s="1"/>
      <c r="B293" s="1"/>
      <c r="C293" s="1"/>
      <c r="D293" s="1"/>
      <c r="E293" s="3"/>
    </row>
    <row r="294" spans="1:5" ht="15.75" customHeight="1" x14ac:dyDescent="0.3">
      <c r="A294" s="1"/>
      <c r="B294" s="1"/>
      <c r="C294" s="1"/>
      <c r="D294" s="1"/>
      <c r="E294" s="3"/>
    </row>
    <row r="295" spans="1:5" ht="15.75" customHeight="1" x14ac:dyDescent="0.3">
      <c r="A295" s="1"/>
      <c r="B295" s="1"/>
      <c r="C295" s="1"/>
      <c r="D295" s="1"/>
      <c r="E295" s="3"/>
    </row>
    <row r="296" spans="1:5" ht="15.75" customHeight="1" x14ac:dyDescent="0.3">
      <c r="A296" s="1"/>
      <c r="B296" s="1"/>
      <c r="C296" s="1"/>
      <c r="D296" s="1"/>
      <c r="E296" s="1"/>
    </row>
    <row r="297" spans="1:5" ht="15.75" customHeight="1" x14ac:dyDescent="0.3">
      <c r="A297" s="1"/>
      <c r="B297" s="1"/>
      <c r="C297" s="1"/>
      <c r="D297" s="1"/>
      <c r="E297" s="3"/>
    </row>
    <row r="298" spans="1:5" ht="15.75" customHeight="1" x14ac:dyDescent="0.3">
      <c r="A298" s="1"/>
      <c r="B298" s="1"/>
      <c r="C298" s="1"/>
      <c r="D298" s="1"/>
      <c r="E298" s="3"/>
    </row>
    <row r="299" spans="1:5" ht="15.75" customHeight="1" x14ac:dyDescent="0.3">
      <c r="A299" s="1"/>
    </row>
    <row r="300" spans="1:5" ht="15.75" customHeight="1" x14ac:dyDescent="0.3">
      <c r="A300" s="1"/>
    </row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>
      <c r="A302" s="1"/>
      <c r="B302" s="1"/>
      <c r="C302" s="1"/>
      <c r="D302" s="1"/>
      <c r="E302" s="3"/>
    </row>
    <row r="303" spans="1:5" ht="15.75" customHeight="1" x14ac:dyDescent="0.3">
      <c r="A303" s="1"/>
      <c r="B303" s="1"/>
      <c r="C303" s="1"/>
      <c r="D303" s="1"/>
      <c r="E303" s="3"/>
    </row>
    <row r="304" spans="1:5" ht="15.75" customHeight="1" x14ac:dyDescent="0.3">
      <c r="A304" s="1"/>
      <c r="B304" s="1"/>
      <c r="C304" s="1"/>
      <c r="D304" s="1"/>
      <c r="E304" s="3"/>
    </row>
    <row r="305" spans="1:5" ht="15.75" customHeight="1" x14ac:dyDescent="0.3">
      <c r="A305" s="1"/>
      <c r="B305" s="6"/>
      <c r="C305" s="6"/>
      <c r="D305" s="6"/>
      <c r="E305" s="8"/>
    </row>
    <row r="306" spans="1:5" ht="15.75" customHeight="1" x14ac:dyDescent="0.3">
      <c r="A306" s="1"/>
      <c r="B306" s="7"/>
      <c r="C306" s="7"/>
      <c r="D306" s="7"/>
      <c r="E306" s="7"/>
    </row>
    <row r="307" spans="1:5" ht="15.75" customHeight="1" x14ac:dyDescent="0.3">
      <c r="A307" s="1"/>
      <c r="B307" s="1"/>
      <c r="C307" s="1"/>
      <c r="D307" s="1"/>
      <c r="E307" s="3"/>
    </row>
    <row r="308" spans="1:5" ht="15.75" customHeight="1" x14ac:dyDescent="0.3">
      <c r="A308" s="1"/>
      <c r="B308" s="6"/>
      <c r="C308" s="6"/>
      <c r="D308" s="6"/>
      <c r="E308" s="8"/>
    </row>
    <row r="309" spans="1:5" ht="15.75" customHeight="1" x14ac:dyDescent="0.3">
      <c r="A309" s="1"/>
      <c r="B309" s="7"/>
      <c r="C309" s="7"/>
      <c r="D309" s="7"/>
      <c r="E309" s="7"/>
    </row>
    <row r="310" spans="1:5" ht="15.75" customHeight="1" x14ac:dyDescent="0.3">
      <c r="A310" s="1"/>
      <c r="B310" s="1"/>
      <c r="C310" s="1"/>
      <c r="D310" s="1"/>
      <c r="E310" s="3"/>
    </row>
    <row r="311" spans="1:5" ht="15.75" customHeight="1" x14ac:dyDescent="0.3">
      <c r="A311" s="1"/>
      <c r="B311" s="1"/>
      <c r="C311" s="1"/>
      <c r="D311" s="1"/>
      <c r="E311" s="3"/>
    </row>
    <row r="312" spans="1:5" ht="15.75" customHeight="1" x14ac:dyDescent="0.3">
      <c r="A312" s="1"/>
      <c r="B312" s="1"/>
      <c r="C312" s="1"/>
      <c r="D312" s="1"/>
      <c r="E312" s="3"/>
    </row>
    <row r="313" spans="1:5" ht="15.75" customHeight="1" x14ac:dyDescent="0.3">
      <c r="A313" s="1"/>
      <c r="B313" s="6"/>
      <c r="C313" s="6"/>
      <c r="D313" s="6"/>
      <c r="E313" s="8"/>
    </row>
    <row r="314" spans="1:5" ht="15.75" customHeight="1" x14ac:dyDescent="0.3">
      <c r="A314" s="1"/>
      <c r="B314" s="7"/>
      <c r="C314" s="7"/>
      <c r="D314" s="7"/>
      <c r="E314" s="7"/>
    </row>
    <row r="315" spans="1:5" ht="15.75" customHeight="1" x14ac:dyDescent="0.3">
      <c r="A315" s="1"/>
      <c r="B315" s="1"/>
      <c r="C315" s="1"/>
      <c r="D315" s="1"/>
      <c r="E315" s="3"/>
    </row>
    <row r="316" spans="1:5" ht="15.75" customHeight="1" x14ac:dyDescent="0.3">
      <c r="A316" s="1"/>
      <c r="B316" s="1"/>
      <c r="C316" s="1"/>
      <c r="D316" s="1"/>
      <c r="E316" s="3"/>
    </row>
    <row r="317" spans="1:5" ht="15.75" customHeight="1" x14ac:dyDescent="0.3">
      <c r="A317" s="1"/>
      <c r="B317" s="1"/>
      <c r="C317" s="1"/>
      <c r="D317" s="1"/>
      <c r="E317" s="3"/>
    </row>
    <row r="318" spans="1:5" ht="15.75" customHeight="1" x14ac:dyDescent="0.3">
      <c r="A318" s="1"/>
      <c r="B318" s="1"/>
      <c r="C318" s="1"/>
      <c r="D318" s="1"/>
      <c r="E318" s="3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3"/>
    </row>
    <row r="321" spans="1:5" ht="15.75" customHeight="1" x14ac:dyDescent="0.3">
      <c r="A321" s="1"/>
      <c r="B321" s="1"/>
      <c r="C321" s="1"/>
      <c r="D321" s="1"/>
      <c r="E321" s="3"/>
    </row>
    <row r="322" spans="1:5" ht="15.75" customHeight="1" x14ac:dyDescent="0.3">
      <c r="A322" s="1"/>
    </row>
    <row r="323" spans="1:5" ht="15.75" customHeight="1" x14ac:dyDescent="0.3"/>
    <row r="324" spans="1:5" ht="15.75" customHeight="1" x14ac:dyDescent="0.3"/>
    <row r="325" spans="1:5" ht="15.75" customHeight="1" x14ac:dyDescent="0.3"/>
    <row r="326" spans="1:5" ht="15.75" customHeight="1" x14ac:dyDescent="0.3"/>
    <row r="327" spans="1:5" ht="15.75" customHeight="1" x14ac:dyDescent="0.3"/>
    <row r="328" spans="1:5" ht="15.75" customHeight="1" x14ac:dyDescent="0.3"/>
    <row r="329" spans="1:5" ht="15.75" customHeight="1" x14ac:dyDescent="0.3"/>
    <row r="330" spans="1:5" ht="15.75" customHeight="1" x14ac:dyDescent="0.3"/>
    <row r="331" spans="1:5" ht="15.75" customHeight="1" x14ac:dyDescent="0.3"/>
    <row r="332" spans="1:5" ht="15.75" customHeight="1" x14ac:dyDescent="0.3"/>
    <row r="333" spans="1:5" ht="15.75" customHeight="1" x14ac:dyDescent="0.3"/>
    <row r="334" spans="1:5" ht="15.75" customHeight="1" x14ac:dyDescent="0.3"/>
    <row r="335" spans="1:5" ht="15.75" customHeight="1" x14ac:dyDescent="0.3"/>
    <row r="336" spans="1:5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8">
    <mergeCell ref="B308:B309"/>
    <mergeCell ref="C308:C309"/>
    <mergeCell ref="D308:D309"/>
    <mergeCell ref="E308:E309"/>
    <mergeCell ref="B313:B314"/>
    <mergeCell ref="C313:C314"/>
    <mergeCell ref="D313:D314"/>
    <mergeCell ref="E313:E314"/>
    <mergeCell ref="C285:C286"/>
    <mergeCell ref="D285:D286"/>
    <mergeCell ref="B290:B291"/>
    <mergeCell ref="C290:C291"/>
    <mergeCell ref="D290:D291"/>
    <mergeCell ref="E290:E291"/>
    <mergeCell ref="B305:B306"/>
    <mergeCell ref="B267:B268"/>
    <mergeCell ref="E267:E268"/>
    <mergeCell ref="C267:C268"/>
    <mergeCell ref="D267:D268"/>
    <mergeCell ref="B282:B283"/>
    <mergeCell ref="C282:C283"/>
    <mergeCell ref="D282:D283"/>
    <mergeCell ref="E282:E283"/>
    <mergeCell ref="B285:B286"/>
    <mergeCell ref="E285:E286"/>
    <mergeCell ref="B244:B245"/>
    <mergeCell ref="C244:C245"/>
    <mergeCell ref="D244:D245"/>
    <mergeCell ref="E244:E245"/>
    <mergeCell ref="B259:B260"/>
    <mergeCell ref="E259:E260"/>
    <mergeCell ref="C259:C260"/>
    <mergeCell ref="D259:D260"/>
    <mergeCell ref="B262:B263"/>
    <mergeCell ref="C262:C263"/>
    <mergeCell ref="D262:D263"/>
    <mergeCell ref="E262:E263"/>
    <mergeCell ref="B221:B222"/>
    <mergeCell ref="E221:E222"/>
    <mergeCell ref="C221:C222"/>
    <mergeCell ref="D221:D222"/>
    <mergeCell ref="B236:B237"/>
    <mergeCell ref="C236:C237"/>
    <mergeCell ref="D236:D237"/>
    <mergeCell ref="E236:E237"/>
    <mergeCell ref="B239:B240"/>
    <mergeCell ref="E239:E240"/>
    <mergeCell ref="C239:C240"/>
    <mergeCell ref="D239:D240"/>
    <mergeCell ref="B169:B170"/>
    <mergeCell ref="C169:C170"/>
    <mergeCell ref="D169:D170"/>
    <mergeCell ref="E169:E170"/>
    <mergeCell ref="B174:B175"/>
    <mergeCell ref="E174:E175"/>
    <mergeCell ref="C213:C214"/>
    <mergeCell ref="D213:D214"/>
    <mergeCell ref="B216:B217"/>
    <mergeCell ref="C216:C217"/>
    <mergeCell ref="D216:D217"/>
    <mergeCell ref="E216:E217"/>
    <mergeCell ref="B146:B147"/>
    <mergeCell ref="E146:E147"/>
    <mergeCell ref="C146:C147"/>
    <mergeCell ref="D146:D147"/>
    <mergeCell ref="B151:B152"/>
    <mergeCell ref="C151:C152"/>
    <mergeCell ref="D151:D152"/>
    <mergeCell ref="E151:E152"/>
    <mergeCell ref="B166:B167"/>
    <mergeCell ref="E166:E167"/>
    <mergeCell ref="C166:C167"/>
    <mergeCell ref="D166:D167"/>
    <mergeCell ref="B123:B124"/>
    <mergeCell ref="C123:C124"/>
    <mergeCell ref="D123:D124"/>
    <mergeCell ref="E123:E124"/>
    <mergeCell ref="B128:B129"/>
    <mergeCell ref="E128:E129"/>
    <mergeCell ref="C128:C129"/>
    <mergeCell ref="D128:D129"/>
    <mergeCell ref="B143:B144"/>
    <mergeCell ref="C143:C144"/>
    <mergeCell ref="D143:D144"/>
    <mergeCell ref="E143:E144"/>
    <mergeCell ref="E100:E101"/>
    <mergeCell ref="C100:C101"/>
    <mergeCell ref="D100:D101"/>
    <mergeCell ref="B105:B106"/>
    <mergeCell ref="C105:C106"/>
    <mergeCell ref="D105:D106"/>
    <mergeCell ref="E105:E106"/>
    <mergeCell ref="B120:B121"/>
    <mergeCell ref="E120:E121"/>
    <mergeCell ref="C120:C121"/>
    <mergeCell ref="D120:D121"/>
    <mergeCell ref="C305:C306"/>
    <mergeCell ref="D305:D306"/>
    <mergeCell ref="E305:E306"/>
    <mergeCell ref="B59:B60"/>
    <mergeCell ref="C59:C60"/>
    <mergeCell ref="D59:D60"/>
    <mergeCell ref="E59:E60"/>
    <mergeCell ref="C74:C75"/>
    <mergeCell ref="D74:D75"/>
    <mergeCell ref="E74:E75"/>
    <mergeCell ref="B74:B75"/>
    <mergeCell ref="B77:B78"/>
    <mergeCell ref="C77:C78"/>
    <mergeCell ref="D77:D78"/>
    <mergeCell ref="E77:E78"/>
    <mergeCell ref="B82:B83"/>
    <mergeCell ref="C82:C83"/>
    <mergeCell ref="D82:D83"/>
    <mergeCell ref="E82:E83"/>
    <mergeCell ref="B97:B98"/>
    <mergeCell ref="C97:C98"/>
    <mergeCell ref="D97:D98"/>
    <mergeCell ref="E97:E98"/>
    <mergeCell ref="B100:B101"/>
    <mergeCell ref="D31:D32"/>
    <mergeCell ref="E31:E32"/>
    <mergeCell ref="C36:C37"/>
    <mergeCell ref="D36:D37"/>
    <mergeCell ref="E36:E37"/>
    <mergeCell ref="D54:D55"/>
    <mergeCell ref="E54:E55"/>
    <mergeCell ref="B36:B37"/>
    <mergeCell ref="B51:B52"/>
    <mergeCell ref="C51:C52"/>
    <mergeCell ref="D51:D52"/>
    <mergeCell ref="E51:E52"/>
    <mergeCell ref="B54:B55"/>
    <mergeCell ref="C54:C55"/>
    <mergeCell ref="B198:B199"/>
    <mergeCell ref="C198:C199"/>
    <mergeCell ref="D198:D199"/>
    <mergeCell ref="E198:E199"/>
    <mergeCell ref="B213:B214"/>
    <mergeCell ref="E213:E214"/>
    <mergeCell ref="B5:B6"/>
    <mergeCell ref="C5:C6"/>
    <mergeCell ref="D5:D6"/>
    <mergeCell ref="E5:E6"/>
    <mergeCell ref="C8:C9"/>
    <mergeCell ref="D8:D9"/>
    <mergeCell ref="E8:E9"/>
    <mergeCell ref="D28:D29"/>
    <mergeCell ref="E28:E29"/>
    <mergeCell ref="B8:B9"/>
    <mergeCell ref="B13:B14"/>
    <mergeCell ref="C13:C14"/>
    <mergeCell ref="D13:D14"/>
    <mergeCell ref="E13:E14"/>
    <mergeCell ref="B28:B29"/>
    <mergeCell ref="C28:C29"/>
    <mergeCell ref="B31:B32"/>
    <mergeCell ref="C31:C32"/>
    <mergeCell ref="C174:C175"/>
    <mergeCell ref="D174:D175"/>
    <mergeCell ref="B190:B191"/>
    <mergeCell ref="C190:C191"/>
    <mergeCell ref="D190:D191"/>
    <mergeCell ref="E190:E191"/>
    <mergeCell ref="B193:B194"/>
    <mergeCell ref="E193:E194"/>
    <mergeCell ref="C193:C194"/>
    <mergeCell ref="D193:D194"/>
  </mergeCells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7" r:id="rId5" xr:uid="{00000000-0004-0000-0100-000004000000}"/>
    <hyperlink ref="E8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5" r:id="rId11" xr:uid="{00000000-0004-0000-0100-00000A000000}"/>
    <hyperlink ref="E16" r:id="rId12" xr:uid="{00000000-0004-0000-0100-00000B000000}"/>
    <hyperlink ref="E17" r:id="rId13" xr:uid="{00000000-0004-0000-0100-00000C000000}"/>
    <hyperlink ref="E18" r:id="rId14" xr:uid="{00000000-0004-0000-0100-00000D000000}"/>
    <hyperlink ref="E20" r:id="rId15" xr:uid="{00000000-0004-0000-0100-00000E000000}"/>
    <hyperlink ref="E21" r:id="rId16" xr:uid="{00000000-0004-0000-0100-00000F000000}"/>
    <hyperlink ref="E25" r:id="rId17" xr:uid="{00000000-0004-0000-0100-000010000000}"/>
    <hyperlink ref="E26" r:id="rId18" xr:uid="{00000000-0004-0000-0100-000011000000}"/>
    <hyperlink ref="E27" r:id="rId19" xr:uid="{00000000-0004-0000-0100-000012000000}"/>
    <hyperlink ref="E28" r:id="rId20" xr:uid="{00000000-0004-0000-0100-000013000000}"/>
    <hyperlink ref="E30" r:id="rId21" xr:uid="{00000000-0004-0000-0100-000014000000}"/>
    <hyperlink ref="E31" r:id="rId22" xr:uid="{00000000-0004-0000-0100-000015000000}"/>
    <hyperlink ref="E33" r:id="rId23" xr:uid="{00000000-0004-0000-0100-000016000000}"/>
    <hyperlink ref="E34" r:id="rId24" xr:uid="{00000000-0004-0000-0100-000017000000}"/>
    <hyperlink ref="E35" r:id="rId25" xr:uid="{00000000-0004-0000-0100-000018000000}"/>
    <hyperlink ref="E36" r:id="rId26" xr:uid="{00000000-0004-0000-0100-000019000000}"/>
    <hyperlink ref="E38" r:id="rId27" xr:uid="{00000000-0004-0000-0100-00001A000000}"/>
    <hyperlink ref="E39" r:id="rId28" xr:uid="{00000000-0004-0000-0100-00001B000000}"/>
    <hyperlink ref="E40" r:id="rId29" xr:uid="{00000000-0004-0000-0100-00001C000000}"/>
    <hyperlink ref="E41" r:id="rId30" xr:uid="{00000000-0004-0000-0100-00001D000000}"/>
    <hyperlink ref="E43" r:id="rId31" xr:uid="{00000000-0004-0000-0100-00001E000000}"/>
    <hyperlink ref="E44" r:id="rId32" xr:uid="{00000000-0004-0000-0100-00001F000000}"/>
    <hyperlink ref="E48" r:id="rId33" xr:uid="{00000000-0004-0000-0100-000020000000}"/>
    <hyperlink ref="E49" r:id="rId34" xr:uid="{00000000-0004-0000-0100-000021000000}"/>
    <hyperlink ref="E50" r:id="rId35" xr:uid="{00000000-0004-0000-0100-000022000000}"/>
    <hyperlink ref="E51" r:id="rId36" xr:uid="{00000000-0004-0000-0100-000023000000}"/>
    <hyperlink ref="E53" r:id="rId37" xr:uid="{00000000-0004-0000-0100-000024000000}"/>
    <hyperlink ref="E54" r:id="rId38" xr:uid="{00000000-0004-0000-0100-000025000000}"/>
    <hyperlink ref="E56" r:id="rId39" xr:uid="{00000000-0004-0000-0100-000026000000}"/>
    <hyperlink ref="E57" r:id="rId40" xr:uid="{00000000-0004-0000-0100-000027000000}"/>
    <hyperlink ref="E58" r:id="rId41" xr:uid="{00000000-0004-0000-0100-000028000000}"/>
    <hyperlink ref="E59" r:id="rId42" xr:uid="{00000000-0004-0000-0100-000029000000}"/>
    <hyperlink ref="E61" r:id="rId43" xr:uid="{00000000-0004-0000-0100-00002A000000}"/>
    <hyperlink ref="E62" r:id="rId44" xr:uid="{00000000-0004-0000-0100-00002B000000}"/>
    <hyperlink ref="E63" r:id="rId45" xr:uid="{00000000-0004-0000-0100-00002C000000}"/>
    <hyperlink ref="E64" r:id="rId46" xr:uid="{00000000-0004-0000-0100-00002D000000}"/>
    <hyperlink ref="E66" r:id="rId47" xr:uid="{00000000-0004-0000-0100-00002E000000}"/>
    <hyperlink ref="E67" r:id="rId48" xr:uid="{00000000-0004-0000-0100-00002F000000}"/>
    <hyperlink ref="E71" r:id="rId49" xr:uid="{00000000-0004-0000-0100-000030000000}"/>
    <hyperlink ref="E72" r:id="rId50" xr:uid="{00000000-0004-0000-0100-000031000000}"/>
    <hyperlink ref="E73" r:id="rId51" xr:uid="{00000000-0004-0000-0100-000032000000}"/>
    <hyperlink ref="E74" r:id="rId52" xr:uid="{00000000-0004-0000-0100-000033000000}"/>
    <hyperlink ref="E76" r:id="rId53" xr:uid="{00000000-0004-0000-0100-000034000000}"/>
    <hyperlink ref="E77" r:id="rId54" xr:uid="{00000000-0004-0000-0100-000035000000}"/>
    <hyperlink ref="E79" r:id="rId55" xr:uid="{00000000-0004-0000-0100-000036000000}"/>
    <hyperlink ref="E80" r:id="rId56" xr:uid="{00000000-0004-0000-0100-000037000000}"/>
    <hyperlink ref="E81" r:id="rId57" xr:uid="{00000000-0004-0000-0100-000038000000}"/>
    <hyperlink ref="E82" r:id="rId58" xr:uid="{00000000-0004-0000-0100-000039000000}"/>
    <hyperlink ref="E84" r:id="rId59" xr:uid="{00000000-0004-0000-0100-00003A000000}"/>
    <hyperlink ref="E85" r:id="rId60" xr:uid="{00000000-0004-0000-0100-00003B000000}"/>
    <hyperlink ref="E86" r:id="rId61" xr:uid="{00000000-0004-0000-0100-00003C000000}"/>
    <hyperlink ref="E87" r:id="rId62" xr:uid="{00000000-0004-0000-0100-00003D000000}"/>
    <hyperlink ref="E89" r:id="rId63" xr:uid="{00000000-0004-0000-0100-00003E000000}"/>
    <hyperlink ref="E90" r:id="rId64" xr:uid="{00000000-0004-0000-0100-00003F000000}"/>
    <hyperlink ref="E94" r:id="rId65" xr:uid="{00000000-0004-0000-0100-000040000000}"/>
    <hyperlink ref="E95" r:id="rId66" xr:uid="{00000000-0004-0000-0100-000041000000}"/>
    <hyperlink ref="E96" r:id="rId67" xr:uid="{00000000-0004-0000-0100-000042000000}"/>
    <hyperlink ref="E97" r:id="rId68" xr:uid="{00000000-0004-0000-0100-000043000000}"/>
    <hyperlink ref="E99" r:id="rId69" xr:uid="{00000000-0004-0000-0100-000044000000}"/>
    <hyperlink ref="E100" r:id="rId70" xr:uid="{00000000-0004-0000-0100-000045000000}"/>
    <hyperlink ref="E102" r:id="rId71" xr:uid="{00000000-0004-0000-0100-000046000000}"/>
    <hyperlink ref="E103" r:id="rId72" xr:uid="{00000000-0004-0000-0100-000047000000}"/>
    <hyperlink ref="E104" r:id="rId73" xr:uid="{00000000-0004-0000-0100-000048000000}"/>
    <hyperlink ref="E105" r:id="rId74" xr:uid="{00000000-0004-0000-0100-000049000000}"/>
    <hyperlink ref="E107" r:id="rId75" xr:uid="{00000000-0004-0000-0100-00004A000000}"/>
    <hyperlink ref="E108" r:id="rId76" xr:uid="{00000000-0004-0000-0100-00004B000000}"/>
    <hyperlink ref="E109" r:id="rId77" xr:uid="{00000000-0004-0000-0100-00004C000000}"/>
    <hyperlink ref="E110" r:id="rId78" xr:uid="{00000000-0004-0000-0100-00004D000000}"/>
    <hyperlink ref="E112" r:id="rId79" xr:uid="{00000000-0004-0000-0100-00004E000000}"/>
    <hyperlink ref="E113" r:id="rId80" xr:uid="{00000000-0004-0000-0100-00004F000000}"/>
    <hyperlink ref="E117" r:id="rId81" xr:uid="{00000000-0004-0000-0100-000050000000}"/>
    <hyperlink ref="E118" r:id="rId82" xr:uid="{00000000-0004-0000-0100-000051000000}"/>
    <hyperlink ref="E119" r:id="rId83" xr:uid="{00000000-0004-0000-0100-000052000000}"/>
    <hyperlink ref="E120" r:id="rId84" xr:uid="{00000000-0004-0000-0100-000053000000}"/>
    <hyperlink ref="E122" r:id="rId85" xr:uid="{00000000-0004-0000-0100-000054000000}"/>
    <hyperlink ref="E123" r:id="rId86" xr:uid="{00000000-0004-0000-0100-000055000000}"/>
    <hyperlink ref="E125" r:id="rId87" xr:uid="{00000000-0004-0000-0100-000056000000}"/>
    <hyperlink ref="E126" r:id="rId88" xr:uid="{00000000-0004-0000-0100-000057000000}"/>
    <hyperlink ref="E127" r:id="rId89" xr:uid="{00000000-0004-0000-0100-000058000000}"/>
    <hyperlink ref="E128" r:id="rId90" xr:uid="{00000000-0004-0000-0100-000059000000}"/>
    <hyperlink ref="E130" r:id="rId91" xr:uid="{00000000-0004-0000-0100-00005A000000}"/>
    <hyperlink ref="E131" r:id="rId92" xr:uid="{00000000-0004-0000-0100-00005B000000}"/>
    <hyperlink ref="E132" r:id="rId93" xr:uid="{00000000-0004-0000-0100-00005C000000}"/>
    <hyperlink ref="E133" r:id="rId94" xr:uid="{00000000-0004-0000-0100-00005D000000}"/>
    <hyperlink ref="E135" r:id="rId95" xr:uid="{00000000-0004-0000-0100-00005E000000}"/>
    <hyperlink ref="E136" r:id="rId96" xr:uid="{00000000-0004-0000-0100-00005F000000}"/>
    <hyperlink ref="E140" r:id="rId97" xr:uid="{00000000-0004-0000-0100-000060000000}"/>
    <hyperlink ref="E141" r:id="rId98" xr:uid="{00000000-0004-0000-0100-000061000000}"/>
    <hyperlink ref="E142" r:id="rId99" xr:uid="{00000000-0004-0000-0100-000062000000}"/>
    <hyperlink ref="E143" r:id="rId100" xr:uid="{00000000-0004-0000-0100-000063000000}"/>
    <hyperlink ref="E145" r:id="rId101" xr:uid="{00000000-0004-0000-0100-000064000000}"/>
    <hyperlink ref="E146" r:id="rId102" xr:uid="{00000000-0004-0000-0100-000065000000}"/>
    <hyperlink ref="E148" r:id="rId103" xr:uid="{00000000-0004-0000-0100-000066000000}"/>
    <hyperlink ref="E149" r:id="rId104" xr:uid="{00000000-0004-0000-0100-000067000000}"/>
    <hyperlink ref="E150" r:id="rId105" xr:uid="{00000000-0004-0000-0100-000068000000}"/>
    <hyperlink ref="E151" r:id="rId106" xr:uid="{00000000-0004-0000-0100-000069000000}"/>
    <hyperlink ref="E153" r:id="rId107" xr:uid="{00000000-0004-0000-0100-00006A000000}"/>
    <hyperlink ref="E154" r:id="rId108" xr:uid="{00000000-0004-0000-0100-00006B000000}"/>
    <hyperlink ref="E155" r:id="rId109" xr:uid="{00000000-0004-0000-0100-00006C000000}"/>
    <hyperlink ref="E156" r:id="rId110" xr:uid="{00000000-0004-0000-0100-00006D000000}"/>
    <hyperlink ref="E158" r:id="rId111" xr:uid="{00000000-0004-0000-0100-00006E000000}"/>
    <hyperlink ref="E159" r:id="rId112" xr:uid="{00000000-0004-0000-0100-00006F000000}"/>
    <hyperlink ref="E163" r:id="rId113" xr:uid="{00000000-0004-0000-0100-000070000000}"/>
    <hyperlink ref="E164" r:id="rId114" xr:uid="{00000000-0004-0000-0100-000071000000}"/>
    <hyperlink ref="E165" r:id="rId115" xr:uid="{00000000-0004-0000-0100-000072000000}"/>
    <hyperlink ref="E166" r:id="rId116" xr:uid="{00000000-0004-0000-0100-000073000000}"/>
    <hyperlink ref="E168" r:id="rId117" xr:uid="{00000000-0004-0000-0100-000074000000}"/>
    <hyperlink ref="E169" r:id="rId118" xr:uid="{00000000-0004-0000-0100-000075000000}"/>
    <hyperlink ref="E171" r:id="rId119" xr:uid="{00000000-0004-0000-0100-000076000000}"/>
    <hyperlink ref="E172" r:id="rId120" xr:uid="{00000000-0004-0000-0100-000077000000}"/>
    <hyperlink ref="E173" r:id="rId121" xr:uid="{00000000-0004-0000-0100-000078000000}"/>
    <hyperlink ref="E174" r:id="rId122" xr:uid="{00000000-0004-0000-0100-000079000000}"/>
    <hyperlink ref="E176" r:id="rId123" xr:uid="{00000000-0004-0000-0100-00007A000000}"/>
    <hyperlink ref="E177" r:id="rId124" xr:uid="{00000000-0004-0000-0100-00007B000000}"/>
    <hyperlink ref="E178" r:id="rId125" xr:uid="{00000000-0004-0000-0100-00007C000000}"/>
    <hyperlink ref="E179" r:id="rId126" xr:uid="{00000000-0004-0000-0100-00007D000000}"/>
    <hyperlink ref="E181" r:id="rId127" xr:uid="{00000000-0004-0000-0100-00007E000000}"/>
    <hyperlink ref="E182" r:id="rId128" xr:uid="{00000000-0004-0000-0100-00007F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5" ht="15.75" customHeight="1" x14ac:dyDescent="0.3">
      <c r="A1" s="2" t="s">
        <v>86</v>
      </c>
      <c r="B1" s="2" t="s">
        <v>87</v>
      </c>
      <c r="D1" s="4" t="s">
        <v>88</v>
      </c>
      <c r="E1" s="4" t="s">
        <v>87</v>
      </c>
    </row>
    <row r="2" spans="1:5" ht="15.75" customHeight="1" x14ac:dyDescent="0.3">
      <c r="A2" s="2">
        <v>2023</v>
      </c>
      <c r="B2" s="2">
        <v>248.16300000000001</v>
      </c>
      <c r="D2" s="4">
        <v>2023</v>
      </c>
      <c r="E2" s="4">
        <v>158.49700000000001</v>
      </c>
    </row>
    <row r="3" spans="1:5" ht="15.75" customHeight="1" x14ac:dyDescent="0.3">
      <c r="A3" s="2">
        <v>2022</v>
      </c>
      <c r="B3" s="2">
        <v>244.09299999999999</v>
      </c>
      <c r="D3" s="4">
        <v>2022</v>
      </c>
      <c r="E3" s="4">
        <v>159.39599999999999</v>
      </c>
    </row>
    <row r="4" spans="1:5" ht="15.75" customHeight="1" x14ac:dyDescent="0.3">
      <c r="A4" s="2" t="s">
        <v>89</v>
      </c>
      <c r="B4" s="2" t="s">
        <v>87</v>
      </c>
      <c r="D4" s="4" t="s">
        <v>90</v>
      </c>
      <c r="E4" s="4" t="s">
        <v>87</v>
      </c>
    </row>
    <row r="5" spans="1:5" ht="15.75" customHeight="1" x14ac:dyDescent="0.3">
      <c r="A5" s="2">
        <v>2023</v>
      </c>
      <c r="B5" s="2">
        <v>81.063999999999993</v>
      </c>
      <c r="D5" s="4">
        <v>2023</v>
      </c>
      <c r="E5" s="4">
        <v>51.832000000000001</v>
      </c>
    </row>
    <row r="6" spans="1:5" ht="15.75" customHeight="1" x14ac:dyDescent="0.3">
      <c r="A6" s="2">
        <v>2022</v>
      </c>
      <c r="B6" s="2">
        <v>79.765000000000001</v>
      </c>
      <c r="D6" s="4">
        <v>2022</v>
      </c>
      <c r="E6" s="4">
        <v>51.231000000000002</v>
      </c>
    </row>
    <row r="7" spans="1:5" ht="15.75" customHeight="1" x14ac:dyDescent="0.3">
      <c r="A7" s="2" t="s">
        <v>91</v>
      </c>
      <c r="B7" s="2" t="s">
        <v>87</v>
      </c>
      <c r="D7" s="4" t="s">
        <v>92</v>
      </c>
      <c r="E7" s="4" t="s">
        <v>87</v>
      </c>
    </row>
    <row r="8" spans="1:5" ht="15.75" customHeight="1" x14ac:dyDescent="0.3">
      <c r="A8" s="2">
        <v>2023</v>
      </c>
      <c r="B8" s="2">
        <v>14.5</v>
      </c>
      <c r="D8" s="4">
        <v>2023</v>
      </c>
      <c r="E8" s="4">
        <v>13.666</v>
      </c>
    </row>
    <row r="9" spans="1:5" ht="15.75" customHeight="1" x14ac:dyDescent="0.3">
      <c r="A9" s="2">
        <v>2022</v>
      </c>
      <c r="B9" s="2">
        <v>14.3</v>
      </c>
      <c r="D9" s="4">
        <v>2022</v>
      </c>
      <c r="E9" s="4">
        <v>13.6</v>
      </c>
    </row>
    <row r="10" spans="1:5" ht="15.75" customHeight="1" x14ac:dyDescent="0.3">
      <c r="A10" s="2" t="s">
        <v>93</v>
      </c>
      <c r="B10" s="2" t="s">
        <v>87</v>
      </c>
      <c r="D10" s="4" t="s">
        <v>94</v>
      </c>
      <c r="E10" s="4" t="s">
        <v>87</v>
      </c>
    </row>
    <row r="11" spans="1:5" ht="15.75" customHeight="1" x14ac:dyDescent="0.3">
      <c r="A11" s="2">
        <v>2023</v>
      </c>
      <c r="B11" s="2">
        <v>14.6</v>
      </c>
      <c r="D11" s="4">
        <v>2023</v>
      </c>
      <c r="E11" s="4">
        <v>13.8</v>
      </c>
    </row>
    <row r="12" spans="1:5" ht="15.75" customHeight="1" x14ac:dyDescent="0.3">
      <c r="A12" s="2">
        <v>2022</v>
      </c>
      <c r="B12" s="2">
        <v>14.366</v>
      </c>
      <c r="D12" s="4">
        <v>2022</v>
      </c>
      <c r="E12" s="4">
        <v>13.266</v>
      </c>
    </row>
    <row r="13" spans="1:5" ht="15.75" customHeight="1" x14ac:dyDescent="0.3">
      <c r="A13" s="2" t="s">
        <v>95</v>
      </c>
      <c r="B13" s="2" t="s">
        <v>87</v>
      </c>
      <c r="D13" s="4" t="s">
        <v>96</v>
      </c>
      <c r="E13" s="4" t="s">
        <v>87</v>
      </c>
    </row>
    <row r="14" spans="1:5" ht="15.75" customHeight="1" x14ac:dyDescent="0.3">
      <c r="A14" s="2">
        <v>2023</v>
      </c>
      <c r="B14" s="2">
        <v>14.366</v>
      </c>
      <c r="D14" s="4">
        <v>2023</v>
      </c>
      <c r="E14" s="4">
        <v>13.933</v>
      </c>
    </row>
    <row r="15" spans="1:5" ht="15.75" customHeight="1" x14ac:dyDescent="0.3">
      <c r="A15" s="2">
        <v>2022</v>
      </c>
      <c r="B15" s="2">
        <v>14.333</v>
      </c>
      <c r="D15" s="4">
        <v>2022</v>
      </c>
      <c r="E15" s="4">
        <v>13.416</v>
      </c>
    </row>
    <row r="16" spans="1:5" ht="15.75" customHeight="1" x14ac:dyDescent="0.3">
      <c r="A16" s="2" t="s">
        <v>97</v>
      </c>
      <c r="B16" s="2" t="s">
        <v>87</v>
      </c>
      <c r="D16" s="4" t="s">
        <v>98</v>
      </c>
      <c r="E16" s="4" t="s">
        <v>87</v>
      </c>
    </row>
    <row r="17" spans="1:5" ht="15.75" customHeight="1" x14ac:dyDescent="0.3">
      <c r="A17" s="2">
        <v>2023</v>
      </c>
      <c r="B17" s="2">
        <v>14.449</v>
      </c>
      <c r="D17" s="4">
        <v>2023</v>
      </c>
      <c r="E17" s="4">
        <v>14.132999999999999</v>
      </c>
    </row>
    <row r="18" spans="1:5" ht="15.75" customHeight="1" x14ac:dyDescent="0.3">
      <c r="A18" s="2">
        <v>2022</v>
      </c>
      <c r="B18" s="2">
        <v>14.433</v>
      </c>
      <c r="D18" s="4">
        <v>2022</v>
      </c>
      <c r="E18" s="4">
        <v>14.4</v>
      </c>
    </row>
    <row r="19" spans="1:5" ht="15.75" customHeight="1" x14ac:dyDescent="0.3">
      <c r="A19" s="4" t="s">
        <v>99</v>
      </c>
      <c r="B19" s="4" t="s">
        <v>87</v>
      </c>
    </row>
    <row r="20" spans="1:5" ht="15.75" customHeight="1" x14ac:dyDescent="0.3">
      <c r="A20" s="4">
        <v>2023</v>
      </c>
      <c r="B20" s="4">
        <v>14.8</v>
      </c>
    </row>
    <row r="21" spans="1:5" ht="15.75" customHeight="1" x14ac:dyDescent="0.3">
      <c r="A21" s="4">
        <v>2022</v>
      </c>
      <c r="B21" s="4">
        <v>14.965999999999999</v>
      </c>
    </row>
    <row r="22" spans="1:5" ht="15.75" customHeight="1" x14ac:dyDescent="0.3">
      <c r="A22" s="4" t="s">
        <v>100</v>
      </c>
      <c r="B22" s="4" t="s">
        <v>87</v>
      </c>
    </row>
    <row r="23" spans="1:5" ht="15.75" customHeight="1" x14ac:dyDescent="0.3">
      <c r="A23" s="4">
        <v>2023</v>
      </c>
      <c r="B23" s="4">
        <v>14.132999999999999</v>
      </c>
    </row>
    <row r="24" spans="1:5" ht="15.75" customHeight="1" x14ac:dyDescent="0.3">
      <c r="A24" s="4">
        <v>2022</v>
      </c>
      <c r="B24" s="4">
        <v>14.333</v>
      </c>
    </row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Womens Data</vt:lpstr>
      <vt:lpstr>Mens Data</vt:lpstr>
      <vt:lpstr>Qualifying 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Joly, Brandon S</dc:creator>
  <cp:lastModifiedBy>Nicholas Grener</cp:lastModifiedBy>
  <dcterms:created xsi:type="dcterms:W3CDTF">2023-10-19T14:43:10Z</dcterms:created>
  <dcterms:modified xsi:type="dcterms:W3CDTF">2024-01-08T17:38:51Z</dcterms:modified>
</cp:coreProperties>
</file>