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yashm\Downloads\Financial modelling workshop\Avenue Supermarts\"/>
    </mc:Choice>
  </mc:AlternateContent>
  <xr:revisionPtr revIDLastSave="0" documentId="13_ncr:1_{6A9C27AD-627F-4336-B5CF-0441712DE5D4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ssumption" sheetId="1" r:id="rId1"/>
    <sheet name="IS" sheetId="2" r:id="rId2"/>
    <sheet name="BS" sheetId="4" r:id="rId3"/>
    <sheet name="WACC" sheetId="3" r:id="rId4"/>
    <sheet name="DCF Analysis" sheetId="6" r:id="rId5"/>
    <sheet name="Sensitivity Analysis" sheetId="7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3" i="1" l="1"/>
  <c r="I43" i="1"/>
  <c r="S7" i="7"/>
  <c r="K5" i="7"/>
  <c r="L4" i="7" l="1"/>
  <c r="L5" i="7" l="1"/>
  <c r="M4" i="7"/>
  <c r="N4" i="7" l="1"/>
  <c r="M5" i="7"/>
  <c r="N5" i="7" l="1"/>
  <c r="O4" i="7"/>
  <c r="O5" i="7" l="1"/>
  <c r="P4" i="7"/>
  <c r="P5" i="7" l="1"/>
  <c r="Q4" i="7"/>
  <c r="R4" i="7" l="1"/>
  <c r="Q5" i="7"/>
  <c r="S4" i="7" l="1"/>
  <c r="S5" i="7" s="1"/>
  <c r="R5" i="7"/>
  <c r="J7" i="7" l="1"/>
  <c r="A1" i="7"/>
  <c r="J24" i="6"/>
  <c r="J23" i="6"/>
  <c r="J14" i="6"/>
  <c r="J13" i="6"/>
  <c r="K13" i="6" s="1"/>
  <c r="L13" i="6" s="1"/>
  <c r="M13" i="6" s="1"/>
  <c r="N13" i="6" s="1"/>
  <c r="O13" i="6" s="1"/>
  <c r="P13" i="6" s="1"/>
  <c r="Q13" i="6" s="1"/>
  <c r="R13" i="6" s="1"/>
  <c r="S13" i="6" s="1"/>
  <c r="S15" i="6" s="1"/>
  <c r="J19" i="6" s="1"/>
  <c r="J20" i="6" s="1"/>
  <c r="K12" i="6"/>
  <c r="L12" i="6"/>
  <c r="M12" i="6"/>
  <c r="N12" i="6"/>
  <c r="O12" i="6"/>
  <c r="P12" i="6"/>
  <c r="Q12" i="6"/>
  <c r="R12" i="6"/>
  <c r="S12" i="6"/>
  <c r="J12" i="6"/>
  <c r="K11" i="6"/>
  <c r="L11" i="6"/>
  <c r="M11" i="6"/>
  <c r="N11" i="6"/>
  <c r="O11" i="6"/>
  <c r="P11" i="6"/>
  <c r="Q11" i="6"/>
  <c r="R11" i="6"/>
  <c r="S11" i="6"/>
  <c r="J11" i="6"/>
  <c r="K10" i="6"/>
  <c r="L10" i="6"/>
  <c r="M10" i="6"/>
  <c r="N10" i="6"/>
  <c r="O10" i="6"/>
  <c r="P10" i="6"/>
  <c r="Q10" i="6"/>
  <c r="R10" i="6"/>
  <c r="S10" i="6"/>
  <c r="J10" i="6"/>
  <c r="K9" i="6"/>
  <c r="L9" i="6"/>
  <c r="M9" i="6"/>
  <c r="N9" i="6"/>
  <c r="O9" i="6"/>
  <c r="P9" i="6"/>
  <c r="Q9" i="6"/>
  <c r="R9" i="6"/>
  <c r="S9" i="6"/>
  <c r="J9" i="6"/>
  <c r="U49" i="4"/>
  <c r="V49" i="4"/>
  <c r="W49" i="4"/>
  <c r="X49" i="4"/>
  <c r="Y49" i="4"/>
  <c r="Z49" i="4"/>
  <c r="AA49" i="4"/>
  <c r="AB49" i="4"/>
  <c r="AC49" i="4"/>
  <c r="T49" i="4"/>
  <c r="U25" i="4"/>
  <c r="V25" i="4"/>
  <c r="W25" i="4"/>
  <c r="X25" i="4"/>
  <c r="Y25" i="4"/>
  <c r="Z25" i="4"/>
  <c r="AA25" i="4"/>
  <c r="AB25" i="4"/>
  <c r="AC25" i="4"/>
  <c r="T25" i="4"/>
  <c r="U23" i="4"/>
  <c r="V23" i="4"/>
  <c r="W23" i="4"/>
  <c r="X23" i="4"/>
  <c r="Y23" i="4"/>
  <c r="Z23" i="4"/>
  <c r="AA23" i="4"/>
  <c r="AB23" i="4"/>
  <c r="AC23" i="4"/>
  <c r="T23" i="4"/>
  <c r="K8" i="6"/>
  <c r="L8" i="6"/>
  <c r="M8" i="6"/>
  <c r="N8" i="6"/>
  <c r="O8" i="6"/>
  <c r="P8" i="6"/>
  <c r="Q8" i="6"/>
  <c r="R8" i="6"/>
  <c r="S8" i="6"/>
  <c r="J8" i="6"/>
  <c r="K7" i="6"/>
  <c r="L7" i="6"/>
  <c r="M7" i="6"/>
  <c r="N7" i="6"/>
  <c r="O7" i="6"/>
  <c r="P7" i="6"/>
  <c r="Q7" i="6"/>
  <c r="R7" i="6"/>
  <c r="S7" i="6"/>
  <c r="J7" i="6"/>
  <c r="K6" i="6"/>
  <c r="L6" i="6"/>
  <c r="M6" i="6"/>
  <c r="N6" i="6"/>
  <c r="O6" i="6"/>
  <c r="P6" i="6"/>
  <c r="Q6" i="6"/>
  <c r="R6" i="6"/>
  <c r="S6" i="6"/>
  <c r="J6" i="6"/>
  <c r="S5" i="6"/>
  <c r="O5" i="6"/>
  <c r="P5" i="6"/>
  <c r="Q5" i="6"/>
  <c r="R5" i="6"/>
  <c r="N5" i="6"/>
  <c r="M5" i="6"/>
  <c r="L5" i="6"/>
  <c r="K5" i="6"/>
  <c r="J5" i="6"/>
  <c r="I5" i="6"/>
  <c r="H5" i="6"/>
  <c r="G5" i="6"/>
  <c r="F5" i="6"/>
  <c r="E5" i="6"/>
  <c r="F4" i="6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C26" i="3"/>
  <c r="D24" i="3"/>
  <c r="D23" i="3"/>
  <c r="C24" i="3"/>
  <c r="C23" i="3"/>
  <c r="C20" i="3"/>
  <c r="C19" i="3"/>
  <c r="C15" i="3"/>
  <c r="C14" i="3"/>
  <c r="C8" i="3"/>
  <c r="C7" i="3"/>
  <c r="C6" i="3"/>
  <c r="I54" i="4"/>
  <c r="I56" i="4" s="1"/>
  <c r="H54" i="4"/>
  <c r="G49" i="4"/>
  <c r="F49" i="4"/>
  <c r="E49" i="4"/>
  <c r="I44" i="4"/>
  <c r="H44" i="4"/>
  <c r="H56" i="4" s="1"/>
  <c r="I36" i="4"/>
  <c r="H36" i="4"/>
  <c r="I29" i="4"/>
  <c r="H29" i="4"/>
  <c r="G25" i="4"/>
  <c r="F25" i="4"/>
  <c r="E25" i="4"/>
  <c r="G23" i="4"/>
  <c r="F23" i="4"/>
  <c r="E23" i="4"/>
  <c r="I20" i="4"/>
  <c r="I31" i="4" s="1"/>
  <c r="H20" i="4"/>
  <c r="H31" i="4" s="1"/>
  <c r="E5" i="4"/>
  <c r="F4" i="4"/>
  <c r="F5" i="4" s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E56" i="1"/>
  <c r="L53" i="1"/>
  <c r="M53" i="1"/>
  <c r="N53" i="1" s="1"/>
  <c r="O53" i="1" s="1"/>
  <c r="P53" i="1" s="1"/>
  <c r="Q53" i="1" s="1"/>
  <c r="R53" i="1" s="1"/>
  <c r="S53" i="1" s="1"/>
  <c r="L54" i="1"/>
  <c r="M54" i="1"/>
  <c r="N54" i="1"/>
  <c r="O54" i="1" s="1"/>
  <c r="P54" i="1" s="1"/>
  <c r="Q54" i="1" s="1"/>
  <c r="R54" i="1" s="1"/>
  <c r="S54" i="1" s="1"/>
  <c r="L55" i="1"/>
  <c r="M55" i="1"/>
  <c r="N55" i="1"/>
  <c r="O55" i="1"/>
  <c r="P55" i="1" s="1"/>
  <c r="Q55" i="1" s="1"/>
  <c r="R55" i="1" s="1"/>
  <c r="S55" i="1" s="1"/>
  <c r="K54" i="1"/>
  <c r="K55" i="1"/>
  <c r="K53" i="1"/>
  <c r="J54" i="1"/>
  <c r="J55" i="1"/>
  <c r="J53" i="1"/>
  <c r="K46" i="1"/>
  <c r="L46" i="1"/>
  <c r="M46" i="1"/>
  <c r="N46" i="1"/>
  <c r="O46" i="1"/>
  <c r="P46" i="1"/>
  <c r="Q46" i="1"/>
  <c r="R46" i="1"/>
  <c r="S46" i="1"/>
  <c r="J46" i="1"/>
  <c r="J47" i="1"/>
  <c r="K47" i="1"/>
  <c r="L47" i="1"/>
  <c r="M47" i="1"/>
  <c r="N47" i="1"/>
  <c r="O47" i="1"/>
  <c r="P47" i="1"/>
  <c r="Q47" i="1"/>
  <c r="R47" i="1"/>
  <c r="S47" i="1"/>
  <c r="E49" i="1"/>
  <c r="F48" i="1"/>
  <c r="G48" i="1"/>
  <c r="H48" i="1"/>
  <c r="I48" i="1"/>
  <c r="E48" i="1"/>
  <c r="F47" i="1"/>
  <c r="G47" i="1"/>
  <c r="H47" i="1"/>
  <c r="I47" i="1"/>
  <c r="E47" i="1"/>
  <c r="R15" i="6" l="1"/>
  <c r="Q15" i="6"/>
  <c r="P15" i="6"/>
  <c r="O15" i="6"/>
  <c r="N15" i="6"/>
  <c r="M15" i="6"/>
  <c r="L15" i="6"/>
  <c r="K15" i="6"/>
  <c r="J15" i="6"/>
  <c r="G4" i="4"/>
  <c r="J16" i="6" l="1"/>
  <c r="J22" i="6" s="1"/>
  <c r="H4" i="4"/>
  <c r="G5" i="4"/>
  <c r="J25" i="6" l="1"/>
  <c r="J6" i="7"/>
  <c r="I4" i="4"/>
  <c r="H5" i="4"/>
  <c r="J4" i="4" l="1"/>
  <c r="I5" i="4"/>
  <c r="K4" i="4" l="1"/>
  <c r="J5" i="4"/>
  <c r="K5" i="4" l="1"/>
  <c r="L4" i="4"/>
  <c r="M4" i="4" l="1"/>
  <c r="L5" i="4"/>
  <c r="N4" i="4" l="1"/>
  <c r="M5" i="4"/>
  <c r="N5" i="4" l="1"/>
  <c r="O4" i="4"/>
  <c r="O5" i="4" l="1"/>
  <c r="P4" i="4"/>
  <c r="P5" i="4" l="1"/>
  <c r="Q4" i="4"/>
  <c r="J9" i="7"/>
  <c r="J10" i="7" l="1"/>
  <c r="S9" i="7"/>
  <c r="Q5" i="4"/>
  <c r="R4" i="4"/>
  <c r="S10" i="7" l="1"/>
  <c r="S12" i="7"/>
  <c r="C25" i="7" s="1"/>
  <c r="S13" i="7"/>
  <c r="C16" i="7" s="1"/>
  <c r="R5" i="4"/>
  <c r="S4" i="4"/>
  <c r="S5" i="4" s="1"/>
  <c r="H33" i="1" l="1"/>
  <c r="H35" i="1" s="1"/>
  <c r="I33" i="1"/>
  <c r="I35" i="1" s="1"/>
  <c r="H41" i="1"/>
  <c r="I41" i="1"/>
  <c r="J41" i="1"/>
  <c r="K41" i="1"/>
  <c r="L41" i="1"/>
  <c r="M41" i="1"/>
  <c r="N41" i="1"/>
  <c r="O41" i="1"/>
  <c r="P41" i="1"/>
  <c r="Q41" i="1"/>
  <c r="R41" i="1"/>
  <c r="S41" i="1"/>
  <c r="H42" i="1"/>
  <c r="I42" i="1"/>
  <c r="J42" i="1"/>
  <c r="K42" i="1"/>
  <c r="L42" i="1"/>
  <c r="M42" i="1"/>
  <c r="N42" i="1"/>
  <c r="O42" i="1"/>
  <c r="P42" i="1"/>
  <c r="Q42" i="1"/>
  <c r="R42" i="1"/>
  <c r="H40" i="1"/>
  <c r="G43" i="1" s="1"/>
  <c r="G41" i="1"/>
  <c r="G42" i="1"/>
  <c r="F41" i="1"/>
  <c r="I40" i="1"/>
  <c r="F32" i="1"/>
  <c r="F42" i="1" s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E32" i="1"/>
  <c r="K16" i="2"/>
  <c r="L16" i="2"/>
  <c r="M16" i="2"/>
  <c r="N16" i="2"/>
  <c r="O16" i="2" s="1"/>
  <c r="P16" i="2" s="1"/>
  <c r="Q16" i="2" s="1"/>
  <c r="R16" i="2" s="1"/>
  <c r="S16" i="2" s="1"/>
  <c r="J16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G29" i="1"/>
  <c r="H29" i="1"/>
  <c r="I29" i="1"/>
  <c r="F29" i="1"/>
  <c r="E28" i="2"/>
  <c r="G16" i="2"/>
  <c r="F16" i="2" s="1"/>
  <c r="E16" i="2" s="1"/>
  <c r="F4" i="3"/>
  <c r="G4" i="3"/>
  <c r="U20" i="2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J19" i="2"/>
  <c r="K19" i="2" s="1"/>
  <c r="L19" i="2" s="1"/>
  <c r="M19" i="2" s="1"/>
  <c r="N19" i="2" s="1"/>
  <c r="O19" i="2" s="1"/>
  <c r="P19" i="2" s="1"/>
  <c r="Q19" i="2" s="1"/>
  <c r="R19" i="2" s="1"/>
  <c r="S19" i="2" s="1"/>
  <c r="E21" i="1"/>
  <c r="E22" i="1" s="1"/>
  <c r="G12" i="2"/>
  <c r="J12" i="2" s="1"/>
  <c r="H12" i="2"/>
  <c r="I12" i="2"/>
  <c r="F12" i="2"/>
  <c r="K8" i="2"/>
  <c r="L8" i="2" s="1"/>
  <c r="M8" i="2" s="1"/>
  <c r="N8" i="2" s="1"/>
  <c r="O8" i="2" s="1"/>
  <c r="P8" i="2" s="1"/>
  <c r="Q8" i="2" s="1"/>
  <c r="R8" i="2" s="1"/>
  <c r="J21" i="1"/>
  <c r="K21" i="1"/>
  <c r="L21" i="1"/>
  <c r="M21" i="1"/>
  <c r="N21" i="1"/>
  <c r="O21" i="1"/>
  <c r="P21" i="1"/>
  <c r="Q21" i="1"/>
  <c r="R21" i="1"/>
  <c r="S21" i="1"/>
  <c r="K26" i="2"/>
  <c r="L26" i="2" s="1"/>
  <c r="M26" i="2" s="1"/>
  <c r="N26" i="2" s="1"/>
  <c r="O26" i="2" s="1"/>
  <c r="P26" i="2" s="1"/>
  <c r="Q26" i="2" s="1"/>
  <c r="R26" i="2" s="1"/>
  <c r="S26" i="2" s="1"/>
  <c r="F24" i="1"/>
  <c r="F25" i="1" s="1"/>
  <c r="G24" i="1"/>
  <c r="G25" i="1" s="1"/>
  <c r="H24" i="1"/>
  <c r="H25" i="1" s="1"/>
  <c r="I24" i="1"/>
  <c r="I25" i="1" s="1"/>
  <c r="E24" i="1"/>
  <c r="E25" i="1" s="1"/>
  <c r="F21" i="1"/>
  <c r="F22" i="1" s="1"/>
  <c r="G21" i="1"/>
  <c r="G22" i="1" s="1"/>
  <c r="H21" i="1"/>
  <c r="H22" i="1" s="1"/>
  <c r="I21" i="1"/>
  <c r="I22" i="1" s="1"/>
  <c r="G18" i="1"/>
  <c r="G19" i="1" s="1"/>
  <c r="H18" i="1"/>
  <c r="H19" i="1" s="1"/>
  <c r="I18" i="1"/>
  <c r="I19" i="1" s="1"/>
  <c r="F16" i="1"/>
  <c r="G16" i="1"/>
  <c r="H16" i="1"/>
  <c r="I16" i="1"/>
  <c r="E16" i="1"/>
  <c r="F15" i="1"/>
  <c r="G15" i="1"/>
  <c r="H15" i="1"/>
  <c r="I15" i="1"/>
  <c r="E15" i="1"/>
  <c r="F9" i="2"/>
  <c r="G9" i="2"/>
  <c r="H9" i="2"/>
  <c r="I9" i="2"/>
  <c r="I14" i="2" s="1"/>
  <c r="E9" i="2"/>
  <c r="F12" i="1"/>
  <c r="G12" i="1"/>
  <c r="H12" i="1"/>
  <c r="I12" i="1"/>
  <c r="E12" i="1"/>
  <c r="F9" i="1"/>
  <c r="G9" i="1"/>
  <c r="H9" i="1"/>
  <c r="I9" i="1"/>
  <c r="E9" i="1"/>
  <c r="E5" i="2"/>
  <c r="F4" i="2"/>
  <c r="G4" i="2" s="1"/>
  <c r="J8" i="1"/>
  <c r="K8" i="1" s="1"/>
  <c r="G8" i="1"/>
  <c r="H8" i="1"/>
  <c r="I8" i="1"/>
  <c r="F8" i="1"/>
  <c r="G7" i="1"/>
  <c r="H7" i="1"/>
  <c r="I7" i="1"/>
  <c r="F7" i="1"/>
  <c r="E5" i="1"/>
  <c r="F4" i="1"/>
  <c r="F5" i="1" s="1"/>
  <c r="G40" i="1" l="1"/>
  <c r="F43" i="1" s="1"/>
  <c r="G33" i="1"/>
  <c r="G35" i="1" s="1"/>
  <c r="J40" i="1"/>
  <c r="J43" i="1" s="1"/>
  <c r="J33" i="1" s="1"/>
  <c r="K12" i="2"/>
  <c r="L12" i="2" s="1"/>
  <c r="M12" i="2" s="1"/>
  <c r="N12" i="2" s="1"/>
  <c r="O12" i="2" s="1"/>
  <c r="P12" i="2" s="1"/>
  <c r="Q12" i="2" s="1"/>
  <c r="R12" i="2" s="1"/>
  <c r="S12" i="2" s="1"/>
  <c r="J11" i="2"/>
  <c r="K11" i="2" s="1"/>
  <c r="G14" i="2"/>
  <c r="L11" i="2"/>
  <c r="M11" i="2" s="1"/>
  <c r="N11" i="2" s="1"/>
  <c r="O11" i="2" s="1"/>
  <c r="P11" i="2" s="1"/>
  <c r="Q11" i="2" s="1"/>
  <c r="R11" i="2" s="1"/>
  <c r="S11" i="2" s="1"/>
  <c r="G20" i="2"/>
  <c r="F20" i="2" s="1"/>
  <c r="E20" i="2" s="1"/>
  <c r="J29" i="1"/>
  <c r="F14" i="2"/>
  <c r="J22" i="1"/>
  <c r="K22" i="1" s="1"/>
  <c r="L22" i="1" s="1"/>
  <c r="M22" i="1" s="1"/>
  <c r="N22" i="1" s="1"/>
  <c r="O22" i="1" s="1"/>
  <c r="P22" i="1" s="1"/>
  <c r="Q22" i="1" s="1"/>
  <c r="R22" i="1" s="1"/>
  <c r="S22" i="1" s="1"/>
  <c r="H14" i="2"/>
  <c r="F5" i="2"/>
  <c r="J25" i="1"/>
  <c r="E18" i="1"/>
  <c r="E19" i="1" s="1"/>
  <c r="E14" i="2"/>
  <c r="F18" i="1"/>
  <c r="F19" i="1" s="1"/>
  <c r="I10" i="1"/>
  <c r="I13" i="1"/>
  <c r="H13" i="1"/>
  <c r="H10" i="1"/>
  <c r="G10" i="1"/>
  <c r="G13" i="1"/>
  <c r="F10" i="1"/>
  <c r="F13" i="1"/>
  <c r="L8" i="1"/>
  <c r="J6" i="1"/>
  <c r="J7" i="1" s="1"/>
  <c r="G5" i="2"/>
  <c r="H4" i="2"/>
  <c r="G4" i="1"/>
  <c r="K40" i="1" l="1"/>
  <c r="K43" i="1" s="1"/>
  <c r="K33" i="1" s="1"/>
  <c r="F40" i="1"/>
  <c r="E43" i="1" s="1"/>
  <c r="E33" i="1" s="1"/>
  <c r="E35" i="1" s="1"/>
  <c r="E36" i="1" s="1"/>
  <c r="F33" i="1"/>
  <c r="F35" i="1" s="1"/>
  <c r="L40" i="1"/>
  <c r="L43" i="1" s="1"/>
  <c r="L33" i="1" s="1"/>
  <c r="K29" i="1"/>
  <c r="L29" i="1" s="1"/>
  <c r="M29" i="1" s="1"/>
  <c r="N29" i="1" s="1"/>
  <c r="O29" i="1" s="1"/>
  <c r="P29" i="1" s="1"/>
  <c r="Q29" i="1" s="1"/>
  <c r="R29" i="1" s="1"/>
  <c r="S29" i="1" s="1"/>
  <c r="J19" i="1"/>
  <c r="K19" i="1" s="1"/>
  <c r="L19" i="1" s="1"/>
  <c r="M19" i="1" s="1"/>
  <c r="N19" i="1" s="1"/>
  <c r="O19" i="1" s="1"/>
  <c r="P19" i="1" s="1"/>
  <c r="Q19" i="1" s="1"/>
  <c r="R19" i="1" s="1"/>
  <c r="S19" i="1" s="1"/>
  <c r="K25" i="1"/>
  <c r="L25" i="1" s="1"/>
  <c r="M25" i="1" s="1"/>
  <c r="N25" i="1" s="1"/>
  <c r="O25" i="1" s="1"/>
  <c r="P25" i="1" s="1"/>
  <c r="Q25" i="1" s="1"/>
  <c r="R25" i="1" s="1"/>
  <c r="S25" i="1" s="1"/>
  <c r="J13" i="1"/>
  <c r="J12" i="1" s="1"/>
  <c r="J6" i="2" s="1"/>
  <c r="J9" i="1" s="1"/>
  <c r="J10" i="1" s="1"/>
  <c r="H4" i="3"/>
  <c r="M8" i="1"/>
  <c r="K6" i="1"/>
  <c r="K7" i="1" s="1"/>
  <c r="I4" i="2"/>
  <c r="H5" i="2"/>
  <c r="H4" i="1"/>
  <c r="G5" i="1"/>
  <c r="M40" i="1" l="1"/>
  <c r="M43" i="1" s="1"/>
  <c r="M33" i="1" s="1"/>
  <c r="J18" i="1"/>
  <c r="J7" i="2"/>
  <c r="K7" i="2" s="1"/>
  <c r="K6" i="2"/>
  <c r="K9" i="1" s="1"/>
  <c r="K10" i="1" s="1"/>
  <c r="J9" i="2"/>
  <c r="J14" i="2" s="1"/>
  <c r="J24" i="1"/>
  <c r="I4" i="3"/>
  <c r="N8" i="1"/>
  <c r="O8" i="1" s="1"/>
  <c r="L6" i="1"/>
  <c r="L7" i="1" s="1"/>
  <c r="J4" i="2"/>
  <c r="J5" i="2" s="1"/>
  <c r="I5" i="2"/>
  <c r="H5" i="1"/>
  <c r="I4" i="1"/>
  <c r="N40" i="1" l="1"/>
  <c r="N43" i="1" s="1"/>
  <c r="N33" i="1" s="1"/>
  <c r="L7" i="2"/>
  <c r="K16" i="1"/>
  <c r="J15" i="1"/>
  <c r="J16" i="1"/>
  <c r="J4" i="3"/>
  <c r="M6" i="1"/>
  <c r="N6" i="1" s="1"/>
  <c r="P8" i="1"/>
  <c r="K4" i="2"/>
  <c r="J4" i="1"/>
  <c r="J5" i="1" s="1"/>
  <c r="I5" i="1"/>
  <c r="O40" i="1" l="1"/>
  <c r="O43" i="1" s="1"/>
  <c r="O33" i="1" s="1"/>
  <c r="M7" i="2"/>
  <c r="L16" i="1"/>
  <c r="K4" i="3"/>
  <c r="N7" i="1"/>
  <c r="O6" i="1"/>
  <c r="O7" i="1" s="1"/>
  <c r="M7" i="1"/>
  <c r="Q8" i="1"/>
  <c r="P6" i="1"/>
  <c r="P7" i="1" s="1"/>
  <c r="L4" i="2"/>
  <c r="K5" i="2"/>
  <c r="K4" i="1"/>
  <c r="P40" i="1" l="1"/>
  <c r="P43" i="1" s="1"/>
  <c r="P33" i="1" s="1"/>
  <c r="N7" i="2"/>
  <c r="M16" i="1"/>
  <c r="L4" i="3"/>
  <c r="R8" i="1"/>
  <c r="Q6" i="1"/>
  <c r="Q7" i="1" s="1"/>
  <c r="M4" i="2"/>
  <c r="L5" i="2"/>
  <c r="L4" i="1"/>
  <c r="K5" i="1"/>
  <c r="Q40" i="1" l="1"/>
  <c r="Q43" i="1" s="1"/>
  <c r="Q33" i="1" s="1"/>
  <c r="O7" i="2"/>
  <c r="N16" i="1"/>
  <c r="M4" i="3"/>
  <c r="R6" i="1"/>
  <c r="N4" i="2"/>
  <c r="M5" i="2"/>
  <c r="M4" i="1"/>
  <c r="L5" i="1"/>
  <c r="R40" i="1" l="1"/>
  <c r="R43" i="1" s="1"/>
  <c r="R33" i="1" s="1"/>
  <c r="O16" i="1"/>
  <c r="P7" i="2"/>
  <c r="N4" i="3"/>
  <c r="S6" i="1"/>
  <c r="S7" i="1" s="1"/>
  <c r="R7" i="1"/>
  <c r="O4" i="2"/>
  <c r="N5" i="2"/>
  <c r="N4" i="1"/>
  <c r="M5" i="1"/>
  <c r="S40" i="1" l="1"/>
  <c r="S43" i="1" s="1"/>
  <c r="S33" i="1" s="1"/>
  <c r="Q7" i="2"/>
  <c r="P16" i="1"/>
  <c r="O4" i="3"/>
  <c r="O5" i="2"/>
  <c r="P4" i="2"/>
  <c r="O4" i="1"/>
  <c r="N5" i="1"/>
  <c r="R7" i="2" l="1"/>
  <c r="Q16" i="1"/>
  <c r="P4" i="3"/>
  <c r="P5" i="2"/>
  <c r="Q4" i="2"/>
  <c r="O5" i="1"/>
  <c r="P4" i="1"/>
  <c r="R16" i="1" l="1"/>
  <c r="S7" i="2"/>
  <c r="S16" i="1" s="1"/>
  <c r="Q4" i="3"/>
  <c r="Q5" i="2"/>
  <c r="R4" i="2"/>
  <c r="P5" i="1"/>
  <c r="Q4" i="1"/>
  <c r="R4" i="3" l="1"/>
  <c r="R5" i="2"/>
  <c r="S4" i="2"/>
  <c r="S5" i="2" s="1"/>
  <c r="Q5" i="1"/>
  <c r="R4" i="1"/>
  <c r="S4" i="3" l="1"/>
  <c r="R5" i="1"/>
  <c r="S4" i="1"/>
  <c r="S5" i="1" l="1"/>
  <c r="K9" i="2" l="1"/>
  <c r="K14" i="2" s="1"/>
  <c r="K15" i="1"/>
  <c r="K12" i="1"/>
  <c r="K18" i="1" s="1"/>
  <c r="K13" i="1" l="1"/>
  <c r="L13" i="1" s="1"/>
  <c r="L6" i="2" s="1"/>
  <c r="L9" i="1" s="1"/>
  <c r="L10" i="1" s="1"/>
  <c r="K24" i="1"/>
  <c r="L9" i="2" l="1"/>
  <c r="L14" i="2" s="1"/>
  <c r="L15" i="1"/>
  <c r="M13" i="1"/>
  <c r="N13" i="1" s="1"/>
  <c r="O13" i="1" s="1"/>
  <c r="P13" i="1" s="1"/>
  <c r="Q13" i="1" s="1"/>
  <c r="R13" i="1" s="1"/>
  <c r="L12" i="1"/>
  <c r="M6" i="2" l="1"/>
  <c r="M9" i="2" s="1"/>
  <c r="M14" i="2" s="1"/>
  <c r="L18" i="1"/>
  <c r="L24" i="1"/>
  <c r="M12" i="1"/>
  <c r="M15" i="1" l="1"/>
  <c r="N6" i="2"/>
  <c r="M9" i="1"/>
  <c r="M10" i="1" s="1"/>
  <c r="M18" i="1"/>
  <c r="M24" i="1"/>
  <c r="N12" i="1"/>
  <c r="O6" i="2" l="1"/>
  <c r="N9" i="1"/>
  <c r="N10" i="1" s="1"/>
  <c r="N15" i="1"/>
  <c r="N9" i="2"/>
  <c r="N14" i="2" s="1"/>
  <c r="N18" i="1"/>
  <c r="O12" i="1"/>
  <c r="N24" i="1"/>
  <c r="P6" i="2" l="1"/>
  <c r="O9" i="1"/>
  <c r="O10" i="1" s="1"/>
  <c r="O15" i="1"/>
  <c r="O9" i="2"/>
  <c r="O14" i="2" s="1"/>
  <c r="P12" i="1"/>
  <c r="O24" i="1"/>
  <c r="O18" i="1"/>
  <c r="Q6" i="2" l="1"/>
  <c r="P9" i="1"/>
  <c r="P10" i="1" s="1"/>
  <c r="P15" i="1"/>
  <c r="P9" i="2"/>
  <c r="P14" i="2" s="1"/>
  <c r="Q12" i="1"/>
  <c r="P18" i="1"/>
  <c r="P24" i="1"/>
  <c r="R6" i="2" l="1"/>
  <c r="Q9" i="1"/>
  <c r="Q10" i="1" s="1"/>
  <c r="Q15" i="1"/>
  <c r="Q9" i="2"/>
  <c r="Q14" i="2" s="1"/>
  <c r="R12" i="1"/>
  <c r="Q18" i="1"/>
  <c r="Q24" i="1"/>
  <c r="S6" i="2" l="1"/>
  <c r="R9" i="1"/>
  <c r="R10" i="1" s="1"/>
  <c r="R9" i="2"/>
  <c r="R14" i="2" s="1"/>
  <c r="R15" i="1"/>
  <c r="R24" i="1"/>
  <c r="R18" i="1"/>
  <c r="S12" i="1"/>
  <c r="S9" i="1" l="1"/>
  <c r="S10" i="1" s="1"/>
  <c r="S15" i="1"/>
  <c r="S9" i="2"/>
  <c r="S14" i="2" s="1"/>
  <c r="S17" i="2" s="1"/>
  <c r="S21" i="2" s="1"/>
  <c r="S25" i="2" s="1"/>
  <c r="S18" i="1"/>
  <c r="S24" i="1"/>
  <c r="R17" i="2"/>
  <c r="R21" i="2" s="1"/>
  <c r="R25" i="2" s="1"/>
  <c r="Q17" i="2"/>
  <c r="Q21" i="2" s="1"/>
  <c r="Q25" i="2" s="1"/>
  <c r="P17" i="2"/>
  <c r="P21" i="2" s="1"/>
  <c r="P25" i="2" s="1"/>
  <c r="O17" i="2"/>
  <c r="O21" i="2" s="1"/>
  <c r="O25" i="2" s="1"/>
  <c r="N17" i="2"/>
  <c r="N21" i="2" s="1"/>
  <c r="N25" i="2" s="1"/>
  <c r="M17" i="2"/>
  <c r="M21" i="2" s="1"/>
  <c r="M25" i="2" s="1"/>
  <c r="L17" i="2"/>
  <c r="L21" i="2" s="1"/>
  <c r="L25" i="2" s="1"/>
  <c r="H17" i="2"/>
  <c r="H21" i="2" s="1"/>
  <c r="J17" i="2"/>
  <c r="J21" i="2" s="1"/>
  <c r="J25" i="2" s="1"/>
  <c r="K17" i="2"/>
  <c r="K21" i="2" s="1"/>
  <c r="K25" i="2" s="1"/>
  <c r="I17" i="2"/>
  <c r="I21" i="2" s="1"/>
  <c r="G17" i="2" l="1"/>
  <c r="G21" i="2" s="1"/>
  <c r="E17" i="2" l="1"/>
  <c r="E21" i="2" s="1"/>
  <c r="F17" i="2"/>
  <c r="F21" i="2" s="1"/>
</calcChain>
</file>

<file path=xl/sharedStrings.xml><?xml version="1.0" encoding="utf-8"?>
<sst xmlns="http://schemas.openxmlformats.org/spreadsheetml/2006/main" count="191" uniqueCount="164">
  <si>
    <t>Avenue Supermarts Ltd.</t>
  </si>
  <si>
    <t>Assumptions</t>
  </si>
  <si>
    <t>(All Figures in INR Cr unless stated otherwise)</t>
  </si>
  <si>
    <t>Income Statement</t>
  </si>
  <si>
    <t>Store Count</t>
  </si>
  <si>
    <t>Net Store Addition</t>
  </si>
  <si>
    <t>Growth in Stores as %</t>
  </si>
  <si>
    <t>&gt;&gt; Assuming the store growth becomes stable at 5% after 10 years</t>
  </si>
  <si>
    <t>Revenue from Operations</t>
  </si>
  <si>
    <t>Less: COGS</t>
  </si>
  <si>
    <t>Gross Profits</t>
  </si>
  <si>
    <t>Employee Benefit Expenses</t>
  </si>
  <si>
    <t>Other expenses</t>
  </si>
  <si>
    <t>EBITDA</t>
  </si>
  <si>
    <t>Depreciation and amortisation expenses</t>
  </si>
  <si>
    <t>EBIT</t>
  </si>
  <si>
    <t>Other Income</t>
  </si>
  <si>
    <t>Finance costs</t>
  </si>
  <si>
    <t>PBT</t>
  </si>
  <si>
    <t>Effective tax rate</t>
  </si>
  <si>
    <t>Tax expense</t>
  </si>
  <si>
    <t>Net Profits Earned</t>
  </si>
  <si>
    <t>Other Comprehensive Income</t>
  </si>
  <si>
    <t>Total Comprehensive income</t>
  </si>
  <si>
    <t xml:space="preserve">Assets </t>
  </si>
  <si>
    <t>Non-current assets</t>
  </si>
  <si>
    <t>Property, plant and equipment</t>
  </si>
  <si>
    <t>Intangibles</t>
  </si>
  <si>
    <t>Deferred Tax Assets (Net)</t>
  </si>
  <si>
    <t>Other Non-Current Assets</t>
  </si>
  <si>
    <t xml:space="preserve">Total non current assets </t>
  </si>
  <si>
    <t xml:space="preserve">Current assets </t>
  </si>
  <si>
    <t>Inventory</t>
  </si>
  <si>
    <t>Current Investments</t>
  </si>
  <si>
    <t>Trade Receivables</t>
  </si>
  <si>
    <t>Cash and bank balances</t>
  </si>
  <si>
    <t>Other Current Financial Assets</t>
  </si>
  <si>
    <t>Other current assets</t>
  </si>
  <si>
    <t xml:space="preserve">Total current assets </t>
  </si>
  <si>
    <t xml:space="preserve">Total assets </t>
  </si>
  <si>
    <t>Equity</t>
  </si>
  <si>
    <t xml:space="preserve">Share capital </t>
  </si>
  <si>
    <t>Other Equity</t>
  </si>
  <si>
    <t>Total Equity</t>
  </si>
  <si>
    <t>Non-current liabilities</t>
  </si>
  <si>
    <t>Non Current Provisions</t>
  </si>
  <si>
    <t>Current liabilities</t>
  </si>
  <si>
    <t>Current Provisions</t>
  </si>
  <si>
    <t>Other Current Liabilities</t>
  </si>
  <si>
    <t xml:space="preserve">Total Current Liability </t>
  </si>
  <si>
    <t xml:space="preserve">Total Equity &amp; Liability </t>
  </si>
  <si>
    <t>Balance Sheet</t>
  </si>
  <si>
    <t>Revenue Per Store</t>
  </si>
  <si>
    <t>SSSG (%)</t>
  </si>
  <si>
    <t>Revenue from Operations growth (%)</t>
  </si>
  <si>
    <t>COGS (As a % of Revenues)</t>
  </si>
  <si>
    <t>Employee Benefit Expenses (As % of Revenue)</t>
  </si>
  <si>
    <t>Other Expenses</t>
  </si>
  <si>
    <t>Other Expenses (As a % of Revenue)</t>
  </si>
  <si>
    <t>Other Income (As % of Revenue)</t>
  </si>
  <si>
    <t>Capital Expenditure and Plant &amp; Machinery</t>
  </si>
  <si>
    <t>Capital Expenditure per store</t>
  </si>
  <si>
    <t>Capex Inflation p.a.</t>
  </si>
  <si>
    <t>Total Capex on store expansion</t>
  </si>
  <si>
    <t>Depreciation</t>
  </si>
  <si>
    <t>Plant &amp; Machinery</t>
  </si>
  <si>
    <t>Depreciation (as a % of Plant &amp; Machinery)</t>
  </si>
  <si>
    <t>Average Depreciaiton (as a % of Plant and Machinery)</t>
  </si>
  <si>
    <t>Opening</t>
  </si>
  <si>
    <t>Add: Capex</t>
  </si>
  <si>
    <t>Less: Depreciation</t>
  </si>
  <si>
    <t>Closing</t>
  </si>
  <si>
    <t>Finance Cost Schedule</t>
  </si>
  <si>
    <t>Interest Cost Incurred</t>
  </si>
  <si>
    <t>No of Stores</t>
  </si>
  <si>
    <t>Interest Cost per Store</t>
  </si>
  <si>
    <t>Average Interest Cost incurred per Store</t>
  </si>
  <si>
    <t>Working Capital Schedule</t>
  </si>
  <si>
    <t>Debtors Days</t>
  </si>
  <si>
    <t>Inventory Days</t>
  </si>
  <si>
    <t>Creditors Days</t>
  </si>
  <si>
    <t>Working Capital Days</t>
  </si>
  <si>
    <t>&gt;&gt; 44% Y-O-Y</t>
  </si>
  <si>
    <t>&gt;&gt; 39% Y-O-Y</t>
  </si>
  <si>
    <t>Financial Assets</t>
  </si>
  <si>
    <t xml:space="preserve">       Non-Current Financial Assets</t>
  </si>
  <si>
    <t xml:space="preserve">       Investments</t>
  </si>
  <si>
    <t>-</t>
  </si>
  <si>
    <t>Capital Work-in Progress</t>
  </si>
  <si>
    <t>Right-of-use assets</t>
  </si>
  <si>
    <t>Investment Properties</t>
  </si>
  <si>
    <t>Goodwill</t>
  </si>
  <si>
    <t>Income Tax Assets (Net)</t>
  </si>
  <si>
    <t>Finanial liablities</t>
  </si>
  <si>
    <t xml:space="preserve">     Lease Liabilities</t>
  </si>
  <si>
    <t xml:space="preserve">     Other Non-Current Liabilities</t>
  </si>
  <si>
    <t>Deferred Tax Liabilities (Net)</t>
  </si>
  <si>
    <t>Financial Liabilities</t>
  </si>
  <si>
    <r>
      <t xml:space="preserve">     </t>
    </r>
    <r>
      <rPr>
        <i/>
        <sz val="11"/>
        <color theme="1"/>
        <rFont val="Calibri"/>
        <family val="2"/>
        <scheme val="minor"/>
      </rPr>
      <t>Lease Liability</t>
    </r>
  </si>
  <si>
    <t xml:space="preserve">     Trade Payables</t>
  </si>
  <si>
    <t xml:space="preserve">     Other Current Financial Liabilities</t>
  </si>
  <si>
    <t>Current Tax Liabilities (Net)</t>
  </si>
  <si>
    <t>COGS (in INR Cr)</t>
  </si>
  <si>
    <t>&gt;&gt; 28% Y-O-Y which caps at 6.5 %</t>
  </si>
  <si>
    <t>&gt;&gt; 19% Y-O-Y which caps at 7.5%</t>
  </si>
  <si>
    <t>COGS Growth Rate</t>
  </si>
  <si>
    <t>Employee Benefit Expenses Growth Rate</t>
  </si>
  <si>
    <t>&gt;&gt; Growing at rate of 4.7%</t>
  </si>
  <si>
    <t xml:space="preserve">&gt;&gt; Growth at rate of 51.9% </t>
  </si>
  <si>
    <t>Weighted Average Cost of Capital</t>
  </si>
  <si>
    <t>Debt</t>
  </si>
  <si>
    <t>Debt / Equity</t>
  </si>
  <si>
    <t>Beta</t>
  </si>
  <si>
    <t>Cost of Equity by CAPM</t>
  </si>
  <si>
    <t>Rf - Govt Bond Yield for 10yrs</t>
  </si>
  <si>
    <t>Market Risk Premium</t>
  </si>
  <si>
    <t>Cost of Equity</t>
  </si>
  <si>
    <t>Cost of Debt</t>
  </si>
  <si>
    <t>Pre-Tax Cost of Debt</t>
  </si>
  <si>
    <t>&gt;&gt; [ICRA]A-(Stable) / Equivalent of Crisil A-</t>
  </si>
  <si>
    <t>Tax Rate</t>
  </si>
  <si>
    <t>Post-Tax Cost of Debt (Kd)</t>
  </si>
  <si>
    <t>Weight of Equity</t>
  </si>
  <si>
    <t>Weight of Debt</t>
  </si>
  <si>
    <t>WACC</t>
  </si>
  <si>
    <t>DCF Analysis</t>
  </si>
  <si>
    <t>Add: Depreciation</t>
  </si>
  <si>
    <t>Less: Capex</t>
  </si>
  <si>
    <t>Add: Changes in Working Capital</t>
  </si>
  <si>
    <t>2023E</t>
  </si>
  <si>
    <t>2024E</t>
  </si>
  <si>
    <t>2025E</t>
  </si>
  <si>
    <t>2026E</t>
  </si>
  <si>
    <t>2027E</t>
  </si>
  <si>
    <t>2028E</t>
  </si>
  <si>
    <t>2029E</t>
  </si>
  <si>
    <t>2030E</t>
  </si>
  <si>
    <t>2031E</t>
  </si>
  <si>
    <t>2032E</t>
  </si>
  <si>
    <t>Free Cash Flow for Equity</t>
  </si>
  <si>
    <t>Add: Interes * (1 - Tax Rate)</t>
  </si>
  <si>
    <t>Free Cash Flow for Firm (FCPP)</t>
  </si>
  <si>
    <t>Dicounting Tenure</t>
  </si>
  <si>
    <t>PV of CashFlows</t>
  </si>
  <si>
    <t>Aggregate Present Value</t>
  </si>
  <si>
    <t>Terminal Growth Rate</t>
  </si>
  <si>
    <t>Terminal Value</t>
  </si>
  <si>
    <t>Present Value of Terminal Value</t>
  </si>
  <si>
    <t>Enterprise Value</t>
  </si>
  <si>
    <t>Add: Cash &amp; Cash Equivalents</t>
  </si>
  <si>
    <t>Less: Debt Obligations</t>
  </si>
  <si>
    <t>Equity Value</t>
  </si>
  <si>
    <t>Sensitivity Analysis</t>
  </si>
  <si>
    <t>Entry Enterprise Value</t>
  </si>
  <si>
    <t>Latest Financial Year's EBITDA</t>
  </si>
  <si>
    <t>EV / EBIDTA (Latest FY)</t>
  </si>
  <si>
    <t>Entry / Exit Enterprise Value</t>
  </si>
  <si>
    <t>GROSS MOIC (Multiple on Invested Capital)</t>
  </si>
  <si>
    <t>IRR</t>
  </si>
  <si>
    <t>IRR Analysis</t>
  </si>
  <si>
    <t>Exit Multiple (Latest EBITDA)</t>
  </si>
  <si>
    <t>Entry Multiple (Latest EBITDA)</t>
  </si>
  <si>
    <t>MOIC Analysis</t>
  </si>
  <si>
    <t>(All Figures in INR mn unless stated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</si>
</sst>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0.0%"/>
    <numFmt numFmtId="165" formatCode="0.0"/>
    <numFmt numFmtId="169" formatCode="0.000000%"/>
    <numFmt numFmtId="170" formatCode="0.000%"/>
    <numFmt numFmtId="171" formatCode="#,##0.0"/>
    <numFmt numFmtId="172" formatCode="#,##0.0\x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6" fillId="0" borderId="0" xfId="0" applyFont="1"/>
    <xf numFmtId="9" fontId="0" fillId="0" borderId="0" xfId="1" applyFont="1"/>
    <xf numFmtId="164" fontId="0" fillId="0" borderId="0" xfId="1" applyNumberFormat="1" applyFont="1"/>
    <xf numFmtId="164" fontId="6" fillId="0" borderId="0" xfId="1" applyNumberFormat="1" applyFont="1"/>
    <xf numFmtId="165" fontId="0" fillId="0" borderId="0" xfId="0" applyNumberFormat="1"/>
    <xf numFmtId="1" fontId="0" fillId="0" borderId="0" xfId="0" applyNumberFormat="1"/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2" fillId="2" borderId="0" xfId="0" applyFont="1" applyFill="1"/>
    <xf numFmtId="0" fontId="7" fillId="2" borderId="2" xfId="0" applyFont="1" applyFill="1" applyBorder="1"/>
    <xf numFmtId="0" fontId="5" fillId="0" borderId="0" xfId="0" applyFont="1"/>
    <xf numFmtId="164" fontId="0" fillId="0" borderId="0" xfId="0" applyNumberFormat="1"/>
    <xf numFmtId="9" fontId="0" fillId="0" borderId="0" xfId="0" applyNumberFormat="1"/>
    <xf numFmtId="10" fontId="0" fillId="0" borderId="0" xfId="0" applyNumberFormat="1"/>
    <xf numFmtId="0" fontId="0" fillId="0" borderId="0" xfId="0" applyFont="1"/>
    <xf numFmtId="169" fontId="0" fillId="0" borderId="0" xfId="0" applyNumberFormat="1"/>
    <xf numFmtId="170" fontId="0" fillId="0" borderId="0" xfId="0" applyNumberFormat="1"/>
    <xf numFmtId="10" fontId="5" fillId="0" borderId="0" xfId="1" applyNumberFormat="1" applyFont="1"/>
    <xf numFmtId="2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1" fontId="0" fillId="2" borderId="0" xfId="0" applyNumberFormat="1" applyFill="1"/>
    <xf numFmtId="172" fontId="0" fillId="2" borderId="0" xfId="0" applyNumberFormat="1" applyFill="1"/>
    <xf numFmtId="0" fontId="4" fillId="4" borderId="0" xfId="0" applyFont="1" applyFill="1"/>
    <xf numFmtId="0" fontId="4" fillId="4" borderId="0" xfId="0" applyFont="1" applyFill="1" applyAlignment="1">
      <alignment horizontal="centerContinuous"/>
    </xf>
    <xf numFmtId="0" fontId="0" fillId="4" borderId="0" xfId="0" applyFill="1"/>
    <xf numFmtId="164" fontId="6" fillId="5" borderId="0" xfId="0" applyNumberFormat="1" applyFont="1" applyFill="1"/>
    <xf numFmtId="172" fontId="4" fillId="5" borderId="0" xfId="0" applyNumberFormat="1" applyFont="1" applyFill="1"/>
    <xf numFmtId="4" fontId="1" fillId="4" borderId="0" xfId="0" applyNumberFormat="1" applyFont="1" applyFill="1" applyAlignment="1">
      <alignment horizontal="center" vertical="center"/>
    </xf>
    <xf numFmtId="164" fontId="8" fillId="2" borderId="0" xfId="0" applyNumberFormat="1" applyFont="1" applyFill="1"/>
    <xf numFmtId="164" fontId="8" fillId="6" borderId="0" xfId="0" applyNumberFormat="1" applyFont="1" applyFill="1"/>
    <xf numFmtId="172" fontId="0" fillId="6" borderId="0" xfId="0" applyNumberFormat="1" applyFill="1"/>
    <xf numFmtId="0" fontId="0" fillId="2" borderId="1" xfId="0" applyFill="1" applyBorder="1"/>
    <xf numFmtId="0" fontId="5" fillId="2" borderId="1" xfId="0" applyFont="1" applyFill="1" applyBorder="1"/>
    <xf numFmtId="0" fontId="0" fillId="2" borderId="4" xfId="0" applyFill="1" applyBorder="1"/>
    <xf numFmtId="0" fontId="9" fillId="2" borderId="5" xfId="0" applyFont="1" applyFill="1" applyBorder="1"/>
    <xf numFmtId="172" fontId="0" fillId="0" borderId="0" xfId="0" applyNumberFormat="1"/>
    <xf numFmtId="0" fontId="1" fillId="5" borderId="0" xfId="0" applyFont="1" applyFill="1"/>
    <xf numFmtId="0" fontId="4" fillId="5" borderId="0" xfId="0" applyFont="1" applyFill="1"/>
    <xf numFmtId="0" fontId="5" fillId="2" borderId="6" xfId="0" applyFont="1" applyFill="1" applyBorder="1"/>
    <xf numFmtId="0" fontId="0" fillId="0" borderId="6" xfId="0" applyBorder="1"/>
    <xf numFmtId="0" fontId="0" fillId="2" borderId="6" xfId="0" applyFill="1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10" fontId="4" fillId="5" borderId="0" xfId="1" applyNumberFormat="1" applyFont="1" applyFill="1"/>
    <xf numFmtId="0" fontId="5" fillId="0" borderId="5" xfId="0" applyFont="1" applyBorder="1"/>
    <xf numFmtId="10" fontId="5" fillId="0" borderId="5" xfId="0" applyNumberFormat="1" applyFont="1" applyBorder="1"/>
    <xf numFmtId="0" fontId="5" fillId="0" borderId="8" xfId="0" applyFont="1" applyBorder="1"/>
    <xf numFmtId="0" fontId="0" fillId="0" borderId="8" xfId="0" applyBorder="1"/>
    <xf numFmtId="171" fontId="4" fillId="5" borderId="0" xfId="0" applyNumberFormat="1" applyFont="1" applyFill="1" applyAlignment="1">
      <alignment horizontal="right"/>
    </xf>
    <xf numFmtId="0" fontId="4" fillId="5" borderId="0" xfId="0" applyFont="1" applyFill="1" applyAlignment="1">
      <alignment horizontal="right"/>
    </xf>
    <xf numFmtId="164" fontId="5" fillId="3" borderId="0" xfId="2" applyNumberFormat="1" applyFont="1" applyFill="1"/>
    <xf numFmtId="0" fontId="5" fillId="3" borderId="0" xfId="0" applyFont="1" applyFill="1"/>
    <xf numFmtId="172" fontId="5" fillId="3" borderId="0" xfId="0" applyNumberFormat="1" applyFon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ashm\Downloads\Financial%20modelling%20workshop\Day%205%20-%20Restaurant%20Brands%20Asia%20Ltd_Unsolved(AutoRecovered).xlsx" TargetMode="External"/><Relationship Id="rId1" Type="http://schemas.openxmlformats.org/officeDocument/2006/relationships/externalLinkPath" Target="/Users/yashm/Downloads/Financial%20modelling%20workshop/Day%205%20-%20Restaurant%20Brands%20Asia%20Ltd_Unsolved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umptions"/>
      <sheetName val="IS"/>
      <sheetName val="BS"/>
      <sheetName val="WACC"/>
      <sheetName val="DCF Analysis"/>
      <sheetName val="Sensitivity Analysis"/>
      <sheetName val="Sheet1"/>
    </sheetNames>
    <sheetDataSet>
      <sheetData sheetId="0">
        <row r="1">
          <cell r="A1" t="str">
            <v>Restaurant Brands Asia Limited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"/>
  <sheetViews>
    <sheetView showGridLines="0" workbookViewId="0">
      <pane ySplit="5" topLeftCell="A27" activePane="bottomLeft" state="frozen"/>
      <selection pane="bottomLeft" activeCell="B45" sqref="B45"/>
    </sheetView>
  </sheetViews>
  <sheetFormatPr defaultRowHeight="15" x14ac:dyDescent="0.25"/>
  <cols>
    <col min="1" max="1" width="2.7109375" customWidth="1"/>
    <col min="2" max="2" width="49.28515625" bestFit="1" customWidth="1"/>
  </cols>
  <sheetData>
    <row r="1" spans="1:21" x14ac:dyDescent="0.25">
      <c r="A1" s="42" t="s">
        <v>0</v>
      </c>
      <c r="B1" s="42"/>
    </row>
    <row r="2" spans="1:21" x14ac:dyDescent="0.25">
      <c r="A2" s="42" t="s">
        <v>1</v>
      </c>
      <c r="B2" s="42"/>
    </row>
    <row r="4" spans="1:21" x14ac:dyDescent="0.25">
      <c r="A4" s="1" t="s">
        <v>2</v>
      </c>
      <c r="E4" s="2">
        <v>2018</v>
      </c>
      <c r="F4" s="2">
        <f>E4+1</f>
        <v>2019</v>
      </c>
      <c r="G4" s="2">
        <f t="shared" ref="G4:S4" si="0">F4+1</f>
        <v>2020</v>
      </c>
      <c r="H4" s="2">
        <f t="shared" si="0"/>
        <v>2021</v>
      </c>
      <c r="I4" s="2">
        <f t="shared" si="0"/>
        <v>2022</v>
      </c>
      <c r="J4" s="2">
        <f t="shared" si="0"/>
        <v>2023</v>
      </c>
      <c r="K4" s="2">
        <f t="shared" si="0"/>
        <v>2024</v>
      </c>
      <c r="L4" s="2">
        <f t="shared" si="0"/>
        <v>2025</v>
      </c>
      <c r="M4" s="2">
        <f t="shared" si="0"/>
        <v>2026</v>
      </c>
      <c r="N4" s="2">
        <f t="shared" si="0"/>
        <v>2027</v>
      </c>
      <c r="O4" s="2">
        <f t="shared" si="0"/>
        <v>2028</v>
      </c>
      <c r="P4" s="2">
        <f t="shared" si="0"/>
        <v>2029</v>
      </c>
      <c r="Q4" s="2">
        <f t="shared" si="0"/>
        <v>2030</v>
      </c>
      <c r="R4" s="2">
        <f t="shared" si="0"/>
        <v>2031</v>
      </c>
      <c r="S4" s="2">
        <f t="shared" si="0"/>
        <v>2032</v>
      </c>
      <c r="T4" s="2"/>
    </row>
    <row r="5" spans="1:21" x14ac:dyDescent="0.25">
      <c r="B5" s="42" t="s">
        <v>3</v>
      </c>
      <c r="C5" s="42"/>
      <c r="D5" s="42"/>
      <c r="E5" s="42" t="str">
        <f>_xlfn.CONCAT(E4,"A")</f>
        <v>2018A</v>
      </c>
      <c r="F5" s="42" t="str">
        <f t="shared" ref="F5:I5" si="1">_xlfn.CONCAT(F4,"A")</f>
        <v>2019A</v>
      </c>
      <c r="G5" s="42" t="str">
        <f t="shared" si="1"/>
        <v>2020A</v>
      </c>
      <c r="H5" s="42" t="str">
        <f t="shared" si="1"/>
        <v>2021A</v>
      </c>
      <c r="I5" s="42" t="str">
        <f t="shared" si="1"/>
        <v>2022A</v>
      </c>
      <c r="J5" s="42" t="str">
        <f>_xlfn.CONCAT(J4,"E")</f>
        <v>2023E</v>
      </c>
      <c r="K5" s="42" t="str">
        <f>_xlfn.CONCAT(K4,"E")</f>
        <v>2024E</v>
      </c>
      <c r="L5" s="42" t="str">
        <f t="shared" ref="L5:S5" si="2">_xlfn.CONCAT(L4,"E")</f>
        <v>2025E</v>
      </c>
      <c r="M5" s="42" t="str">
        <f t="shared" si="2"/>
        <v>2026E</v>
      </c>
      <c r="N5" s="42" t="str">
        <f t="shared" si="2"/>
        <v>2027E</v>
      </c>
      <c r="O5" s="42" t="str">
        <f t="shared" si="2"/>
        <v>2028E</v>
      </c>
      <c r="P5" s="42" t="str">
        <f t="shared" si="2"/>
        <v>2029E</v>
      </c>
      <c r="Q5" s="42" t="str">
        <f t="shared" si="2"/>
        <v>2030E</v>
      </c>
      <c r="R5" s="42" t="str">
        <f t="shared" si="2"/>
        <v>2031E</v>
      </c>
      <c r="S5" s="42" t="str">
        <f t="shared" si="2"/>
        <v>2032E</v>
      </c>
    </row>
    <row r="6" spans="1:21" x14ac:dyDescent="0.25">
      <c r="B6" t="s">
        <v>4</v>
      </c>
      <c r="E6" s="3">
        <v>155</v>
      </c>
      <c r="F6" s="3">
        <v>176</v>
      </c>
      <c r="G6" s="3">
        <v>214</v>
      </c>
      <c r="H6" s="3">
        <v>234</v>
      </c>
      <c r="I6" s="3">
        <v>284</v>
      </c>
      <c r="J6" s="8">
        <f>(1+J8)*I6</f>
        <v>337.49312061892704</v>
      </c>
      <c r="K6" s="8">
        <f t="shared" ref="K6:S6" si="3">(1+K8)*J6</f>
        <v>395.87374815703328</v>
      </c>
      <c r="L6" s="8">
        <f t="shared" si="3"/>
        <v>458.26751559360457</v>
      </c>
      <c r="M6" s="8">
        <f t="shared" si="3"/>
        <v>523.45028284266391</v>
      </c>
      <c r="N6" s="8">
        <f t="shared" si="3"/>
        <v>589.85752918696505</v>
      </c>
      <c r="O6" s="8">
        <f t="shared" si="3"/>
        <v>655.62167801302007</v>
      </c>
      <c r="P6" s="8">
        <f t="shared" si="3"/>
        <v>718.63917232980839</v>
      </c>
      <c r="Q6" s="8">
        <f t="shared" si="3"/>
        <v>776.66626058623706</v>
      </c>
      <c r="R6" s="8">
        <f t="shared" si="3"/>
        <v>827.43918279311788</v>
      </c>
      <c r="S6" s="8">
        <f t="shared" si="3"/>
        <v>868.81114193277381</v>
      </c>
    </row>
    <row r="7" spans="1:21" x14ac:dyDescent="0.25">
      <c r="B7" t="s">
        <v>5</v>
      </c>
      <c r="F7">
        <f>F6-E6</f>
        <v>21</v>
      </c>
      <c r="G7">
        <f t="shared" ref="G7:S7" si="4">G6-F6</f>
        <v>38</v>
      </c>
      <c r="H7">
        <f t="shared" si="4"/>
        <v>20</v>
      </c>
      <c r="I7">
        <f t="shared" si="4"/>
        <v>50</v>
      </c>
      <c r="J7" s="8">
        <f t="shared" si="4"/>
        <v>53.493120618927037</v>
      </c>
      <c r="K7" s="8">
        <f t="shared" si="4"/>
        <v>58.380627538106239</v>
      </c>
      <c r="L7" s="8">
        <f t="shared" si="4"/>
        <v>62.393767436571295</v>
      </c>
      <c r="M7" s="8">
        <f t="shared" si="4"/>
        <v>65.182767249059339</v>
      </c>
      <c r="N7" s="8">
        <f t="shared" si="4"/>
        <v>66.407246344301143</v>
      </c>
      <c r="O7" s="8">
        <f t="shared" si="4"/>
        <v>65.76414882605502</v>
      </c>
      <c r="P7" s="8">
        <f t="shared" si="4"/>
        <v>63.017494316788316</v>
      </c>
      <c r="Q7" s="8">
        <f t="shared" si="4"/>
        <v>58.027088256428669</v>
      </c>
      <c r="R7" s="8">
        <f t="shared" si="4"/>
        <v>50.772922206880821</v>
      </c>
      <c r="S7" s="8">
        <f t="shared" si="4"/>
        <v>41.371959139655928</v>
      </c>
    </row>
    <row r="8" spans="1:21" x14ac:dyDescent="0.25">
      <c r="B8" t="s">
        <v>6</v>
      </c>
      <c r="F8" s="5">
        <f>F6/E6-1</f>
        <v>0.13548387096774195</v>
      </c>
      <c r="G8" s="5">
        <f t="shared" ref="G8:I8" si="5">G6/F6-1</f>
        <v>0.21590909090909083</v>
      </c>
      <c r="H8" s="5">
        <f t="shared" si="5"/>
        <v>9.3457943925233655E-2</v>
      </c>
      <c r="I8" s="5">
        <f t="shared" si="5"/>
        <v>0.21367521367521358</v>
      </c>
      <c r="J8" s="6">
        <f>AVERAGE(F8,G8,I8)</f>
        <v>0.1883560585173488</v>
      </c>
      <c r="K8" s="6">
        <f>J8-($J$8-$S$8)/9</f>
        <v>0.17298316312653225</v>
      </c>
      <c r="L8" s="6">
        <f t="shared" ref="L8:R8" si="6">K8-($J$8-$S$8)/9</f>
        <v>0.15761026773571571</v>
      </c>
      <c r="M8" s="6">
        <f t="shared" si="6"/>
        <v>0.14223737234489917</v>
      </c>
      <c r="N8" s="6">
        <f t="shared" si="6"/>
        <v>0.12686447695408262</v>
      </c>
      <c r="O8" s="6">
        <f t="shared" si="6"/>
        <v>0.11149158156326609</v>
      </c>
      <c r="P8" s="6">
        <f t="shared" si="6"/>
        <v>9.6118686172449563E-2</v>
      </c>
      <c r="Q8" s="6">
        <f t="shared" si="6"/>
        <v>8.0745790781633034E-2</v>
      </c>
      <c r="R8" s="6">
        <f t="shared" si="6"/>
        <v>6.5372895390816504E-2</v>
      </c>
      <c r="S8" s="6">
        <v>0.05</v>
      </c>
      <c r="U8" t="s">
        <v>7</v>
      </c>
    </row>
    <row r="9" spans="1:21" x14ac:dyDescent="0.25">
      <c r="B9" s="9" t="s">
        <v>52</v>
      </c>
      <c r="E9" s="7">
        <f>IS!E6/Assumption!E6</f>
        <v>96.9883806451613</v>
      </c>
      <c r="F9" s="7">
        <f>IS!F6/Assumption!F6</f>
        <v>113.66204545454546</v>
      </c>
      <c r="G9" s="7">
        <f>IS!G6/Assumption!G6</f>
        <v>116.2158878504673</v>
      </c>
      <c r="H9" s="7">
        <f>IS!H6/Assumption!H6</f>
        <v>103.1754700854701</v>
      </c>
      <c r="I9" s="7">
        <f>IS!I6/Assumption!I6</f>
        <v>109.07137323943662</v>
      </c>
      <c r="J9" s="7">
        <f>IS!J6/Assumption!J6</f>
        <v>118.00129768162978</v>
      </c>
      <c r="K9" s="7">
        <f>IS!K6/Assumption!K6</f>
        <v>128.7671177051609</v>
      </c>
      <c r="L9" s="7">
        <f>IS!L6/Assumption!L6</f>
        <v>139.39172696688522</v>
      </c>
      <c r="M9" s="7">
        <f>IS!M6/Assumption!M6</f>
        <v>149.64411892971304</v>
      </c>
      <c r="N9" s="7">
        <f>IS!N6/Assumption!N6</f>
        <v>159.27329222983221</v>
      </c>
      <c r="O9" s="7">
        <f>IS!O6/Assumption!O6</f>
        <v>168.01560914822693</v>
      </c>
      <c r="P9" s="7">
        <f>IS!P6/Assumption!P6</f>
        <v>175.60405151249708</v>
      </c>
      <c r="Q9" s="7">
        <f>IS!Q6/Assumption!Q6</f>
        <v>181.77913280376646</v>
      </c>
      <c r="R9" s="7">
        <f>IS!R6/Assumption!R6</f>
        <v>186.30105148047991</v>
      </c>
      <c r="S9" s="7">
        <f>IS!S6/Assumption!S6</f>
        <v>188.96249507305816</v>
      </c>
    </row>
    <row r="10" spans="1:21" x14ac:dyDescent="0.25">
      <c r="B10" s="9" t="s">
        <v>53</v>
      </c>
      <c r="F10" s="4">
        <f>F9/E9-1</f>
        <v>0.17191404473888383</v>
      </c>
      <c r="G10" s="4">
        <f t="shared" ref="G10:I10" si="7">G9/F9-1</f>
        <v>2.2468735149968166E-2</v>
      </c>
      <c r="H10" s="4">
        <f t="shared" si="7"/>
        <v>-0.11220856292709347</v>
      </c>
      <c r="I10" s="4">
        <f t="shared" si="7"/>
        <v>5.714442734384817E-2</v>
      </c>
      <c r="J10" s="4">
        <f t="shared" ref="J10" si="8">J9/I9-1</f>
        <v>8.1872302300530553E-2</v>
      </c>
      <c r="K10" s="4">
        <f t="shared" ref="K10" si="9">K9/J9-1</f>
        <v>9.1234759575081537E-2</v>
      </c>
      <c r="L10" s="4">
        <f t="shared" ref="L10" si="10">L9/K9-1</f>
        <v>8.2510266992630532E-2</v>
      </c>
      <c r="M10" s="4">
        <f t="shared" ref="M10" si="11">M9/L9-1</f>
        <v>7.3550935811731888E-2</v>
      </c>
      <c r="N10" s="4">
        <f t="shared" ref="N10" si="12">N9/M9-1</f>
        <v>6.4347154896490899E-2</v>
      </c>
      <c r="O10" s="4">
        <f t="shared" ref="O10" si="13">O9/N9-1</f>
        <v>5.488878138953468E-2</v>
      </c>
      <c r="P10" s="4">
        <f t="shared" ref="P10" si="14">P9/O9-1</f>
        <v>4.516510342545299E-2</v>
      </c>
      <c r="Q10" s="4">
        <f t="shared" ref="Q10" si="15">Q9/P9-1</f>
        <v>3.5164799661982382E-2</v>
      </c>
      <c r="R10" s="4">
        <f t="shared" ref="R10" si="16">R9/Q9-1</f>
        <v>2.4875895307493456E-2</v>
      </c>
      <c r="S10" s="4">
        <f t="shared" ref="S10" si="17">S9/R9-1</f>
        <v>1.4285714285714013E-2</v>
      </c>
    </row>
    <row r="11" spans="1:21" x14ac:dyDescent="0.25">
      <c r="B11" s="9"/>
    </row>
    <row r="12" spans="1:21" x14ac:dyDescent="0.25">
      <c r="B12" s="9" t="s">
        <v>8</v>
      </c>
      <c r="E12">
        <f>IS!E6</f>
        <v>15033.199000000001</v>
      </c>
      <c r="F12">
        <f>IS!F6</f>
        <v>20004.52</v>
      </c>
      <c r="G12">
        <f>IS!G6</f>
        <v>24870.2</v>
      </c>
      <c r="H12">
        <f>IS!H6</f>
        <v>24143.06</v>
      </c>
      <c r="I12">
        <f>IS!I6</f>
        <v>30976.27</v>
      </c>
      <c r="J12">
        <f>I12*(1+J13)</f>
        <v>39824.626191656193</v>
      </c>
      <c r="K12">
        <f>IS!K6</f>
        <v>50975.521525319928</v>
      </c>
      <c r="L12">
        <f>K12*(1+L13)</f>
        <v>63878.700411416539</v>
      </c>
      <c r="M12">
        <f t="shared" ref="M12:S12" si="18">L12*(1+M13)</f>
        <v>78331.256379499537</v>
      </c>
      <c r="N12">
        <f t="shared" si="18"/>
        <v>93948.550620162263</v>
      </c>
      <c r="O12">
        <f t="shared" si="18"/>
        <v>110154.67560214027</v>
      </c>
      <c r="P12">
        <f t="shared" si="18"/>
        <v>126195.95023670193</v>
      </c>
      <c r="Q12">
        <f t="shared" si="18"/>
        <v>141181.71932731027</v>
      </c>
      <c r="R12">
        <f t="shared" si="18"/>
        <v>154152.78979050688</v>
      </c>
      <c r="S12">
        <f t="shared" si="18"/>
        <v>164172.72112688981</v>
      </c>
    </row>
    <row r="13" spans="1:21" x14ac:dyDescent="0.25">
      <c r="B13" s="9" t="s">
        <v>54</v>
      </c>
      <c r="F13" s="5">
        <f>F12/E12-1</f>
        <v>0.33068949596157138</v>
      </c>
      <c r="G13" s="5">
        <f t="shared" ref="G13:I13" si="19">G12/F12-1</f>
        <v>0.24322903023916598</v>
      </c>
      <c r="H13" s="5">
        <f t="shared" si="19"/>
        <v>-2.9237400583831175E-2</v>
      </c>
      <c r="I13" s="5">
        <f t="shared" si="19"/>
        <v>0.28302998874210639</v>
      </c>
      <c r="J13" s="5">
        <f>AVERAGE(I13,G13,F13)</f>
        <v>0.28564950498094793</v>
      </c>
      <c r="K13" s="5">
        <f t="shared" ref="K13" si="20">K12/J12-1</f>
        <v>0.28000000000000003</v>
      </c>
      <c r="L13" s="5">
        <f>K13-($K$13-$S$13)/8</f>
        <v>0.25312500000000004</v>
      </c>
      <c r="M13" s="5">
        <f t="shared" ref="M13:R13" si="21">L13-($K$13-$S$13)/8</f>
        <v>0.22625000000000003</v>
      </c>
      <c r="N13" s="5">
        <f t="shared" si="21"/>
        <v>0.19937500000000002</v>
      </c>
      <c r="O13" s="5">
        <f t="shared" si="21"/>
        <v>0.17250000000000001</v>
      </c>
      <c r="P13" s="5">
        <f t="shared" si="21"/>
        <v>0.145625</v>
      </c>
      <c r="Q13" s="5">
        <f t="shared" si="21"/>
        <v>0.11874999999999999</v>
      </c>
      <c r="R13" s="5">
        <f t="shared" si="21"/>
        <v>9.1874999999999984E-2</v>
      </c>
      <c r="S13" s="5">
        <v>6.5000000000000002E-2</v>
      </c>
    </row>
    <row r="14" spans="1:21" x14ac:dyDescent="0.25">
      <c r="B14" s="9"/>
    </row>
    <row r="15" spans="1:21" x14ac:dyDescent="0.25">
      <c r="B15" s="9" t="s">
        <v>55</v>
      </c>
      <c r="E15" s="4">
        <f>IS!E7/IS!E6</f>
        <v>0.84858226116743352</v>
      </c>
      <c r="F15" s="4">
        <f>IS!F7/IS!F6</f>
        <v>0.85748820766506761</v>
      </c>
      <c r="G15" s="4">
        <f>IS!G7/IS!G6</f>
        <v>0.85609162773118019</v>
      </c>
      <c r="H15" s="4">
        <f>IS!H7/IS!H6</f>
        <v>0.85481376428671418</v>
      </c>
      <c r="I15" s="4">
        <f>IS!I7/IS!I6</f>
        <v>0.85538058649411308</v>
      </c>
      <c r="J15" s="4">
        <f>IS!J7/IS!J6</f>
        <v>0.86</v>
      </c>
      <c r="K15" s="4">
        <f>IS!K7/IS!K6</f>
        <v>0.79094618055555543</v>
      </c>
      <c r="L15" s="4">
        <f>IS!L7/IS!L6</f>
        <v>0.73497287645084797</v>
      </c>
      <c r="M15" s="4">
        <f>IS!M7/IS!M6</f>
        <v>0.69027014288486022</v>
      </c>
      <c r="N15" s="4">
        <f>IS!N7/IS!N6</f>
        <v>0.65545888155356991</v>
      </c>
      <c r="O15" s="4">
        <f>IS!O7/IS!O6</f>
        <v>0.6295262510822488</v>
      </c>
      <c r="P15" s="4">
        <f>IS!P7/IS!P6</f>
        <v>0.61178183047527501</v>
      </c>
      <c r="Q15" s="4">
        <f>IS!Q7/IS!Q6</f>
        <v>0.60183230598213278</v>
      </c>
      <c r="R15" s="4">
        <f>IS!R7/IS!R6</f>
        <v>0.59957395159346993</v>
      </c>
      <c r="S15" s="4">
        <f>IS!S7/IS!S6</f>
        <v>0.60520375395585002</v>
      </c>
    </row>
    <row r="16" spans="1:21" x14ac:dyDescent="0.25">
      <c r="B16" s="9" t="s">
        <v>102</v>
      </c>
      <c r="E16">
        <f>IS!E7</f>
        <v>12756.906000000001</v>
      </c>
      <c r="F16">
        <f>IS!F7</f>
        <v>17153.64</v>
      </c>
      <c r="G16">
        <f>IS!G7</f>
        <v>21291.17</v>
      </c>
      <c r="H16">
        <f>IS!H7</f>
        <v>20637.82</v>
      </c>
      <c r="I16">
        <f>IS!I7</f>
        <v>26496.5</v>
      </c>
      <c r="J16">
        <f>IS!J7</f>
        <v>34249.178524824325</v>
      </c>
      <c r="K16">
        <f>IS!K7</f>
        <v>40318.894052279298</v>
      </c>
      <c r="L16">
        <f>IS!L7</f>
        <v>46949.112185320781</v>
      </c>
      <c r="M16">
        <f>IS!M7</f>
        <v>54069.727533427766</v>
      </c>
      <c r="N16">
        <f>IS!N7</f>
        <v>61579.411913070508</v>
      </c>
      <c r="O16">
        <f>IS!O7</f>
        <v>69345.259970996616</v>
      </c>
      <c r="P16">
        <f>IS!P7</f>
        <v>77204.389434376222</v>
      </c>
      <c r="Q16">
        <f>IS!Q7</f>
        <v>84967.719705277384</v>
      </c>
      <c r="R16">
        <f>IS!R7</f>
        <v>92425.997323851727</v>
      </c>
      <c r="S16">
        <f>IS!S7</f>
        <v>99357.947123140606</v>
      </c>
    </row>
    <row r="17" spans="2:19" x14ac:dyDescent="0.25">
      <c r="B17" s="9"/>
    </row>
    <row r="18" spans="2:19" x14ac:dyDescent="0.25">
      <c r="B18" s="9" t="s">
        <v>11</v>
      </c>
      <c r="E18">
        <f>-IS!E11</f>
        <v>364.74434978471527</v>
      </c>
      <c r="F18">
        <f>-IS!F11</f>
        <v>403.86119783183096</v>
      </c>
      <c r="G18">
        <f>-IS!G11</f>
        <v>447.17311511591845</v>
      </c>
      <c r="H18">
        <f>-IS!H11</f>
        <v>495.13</v>
      </c>
      <c r="I18">
        <f>-IS!I11</f>
        <v>548.23</v>
      </c>
      <c r="J18">
        <f>J19*J12</f>
        <v>797.78435946291881</v>
      </c>
      <c r="K18">
        <f t="shared" ref="K18:S18" si="22">K19*K12</f>
        <v>1003.0629808160875</v>
      </c>
      <c r="L18">
        <f t="shared" si="22"/>
        <v>1211.5263344683424</v>
      </c>
      <c r="M18">
        <f t="shared" si="22"/>
        <v>1511.8919644041146</v>
      </c>
      <c r="N18">
        <f t="shared" si="22"/>
        <v>1801.6849656475595</v>
      </c>
      <c r="O18">
        <f t="shared" si="22"/>
        <v>2143.9731513021025</v>
      </c>
      <c r="P18">
        <f t="shared" si="22"/>
        <v>2442.1424091440717</v>
      </c>
      <c r="Q18">
        <f t="shared" si="22"/>
        <v>2710.5707924235812</v>
      </c>
      <c r="R18">
        <f t="shared" si="22"/>
        <v>2972.8780759918409</v>
      </c>
      <c r="S18">
        <f t="shared" si="22"/>
        <v>3171.7312390458096</v>
      </c>
    </row>
    <row r="19" spans="2:19" x14ac:dyDescent="0.25">
      <c r="B19" s="9" t="s">
        <v>56</v>
      </c>
      <c r="E19" s="5">
        <f>E18/IS!E6</f>
        <v>2.4262590403061602E-2</v>
      </c>
      <c r="F19" s="5">
        <f>F18/IS!F6</f>
        <v>2.0188497291203734E-2</v>
      </c>
      <c r="G19" s="5">
        <f>G18/IS!G6</f>
        <v>1.7980278209098376E-2</v>
      </c>
      <c r="H19" s="5">
        <f>H18/IS!H6</f>
        <v>2.0508170878090846E-2</v>
      </c>
      <c r="I19" s="5">
        <f>I18/IS!I6</f>
        <v>1.7698386539115266E-2</v>
      </c>
      <c r="J19" s="5">
        <f>AVERAGE(I19,G19,F19,E19)</f>
        <v>2.0032438110619746E-2</v>
      </c>
      <c r="K19" s="5">
        <f t="shared" ref="K19:S19" si="23">AVERAGE(J19,H19,G19,F19)</f>
        <v>1.9677346122253178E-2</v>
      </c>
      <c r="L19" s="5">
        <f t="shared" si="23"/>
        <v>1.8966045437139416E-2</v>
      </c>
      <c r="M19" s="5">
        <f t="shared" si="23"/>
        <v>1.9301260241241316E-2</v>
      </c>
      <c r="N19" s="5">
        <f t="shared" si="23"/>
        <v>1.9177357753307377E-2</v>
      </c>
      <c r="O19" s="5">
        <f t="shared" si="23"/>
        <v>1.9463296855829929E-2</v>
      </c>
      <c r="P19" s="5">
        <f t="shared" si="23"/>
        <v>1.9351987164115958E-2</v>
      </c>
      <c r="Q19" s="5">
        <f t="shared" si="23"/>
        <v>1.9199162648951017E-2</v>
      </c>
      <c r="R19" s="5">
        <f t="shared" si="23"/>
        <v>1.9285269374832412E-2</v>
      </c>
      <c r="S19" s="5">
        <f t="shared" si="23"/>
        <v>1.9319477787021418E-2</v>
      </c>
    </row>
    <row r="20" spans="2:19" x14ac:dyDescent="0.25">
      <c r="B20" s="9"/>
    </row>
    <row r="21" spans="2:19" x14ac:dyDescent="0.25">
      <c r="B21" s="9" t="s">
        <v>57</v>
      </c>
      <c r="E21">
        <f>-IS!E13</f>
        <v>1040.443342081174</v>
      </c>
      <c r="F21">
        <f>-IS!F13</f>
        <v>1089.3019430899524</v>
      </c>
      <c r="G21">
        <f>-IS!G13</f>
        <v>1140.4549149654422</v>
      </c>
      <c r="H21">
        <f>-IS!H13</f>
        <v>1194.01</v>
      </c>
      <c r="I21">
        <f>-IS!I13</f>
        <v>1250.08</v>
      </c>
      <c r="J21">
        <f>-IS!J13</f>
        <v>1250.08</v>
      </c>
      <c r="K21">
        <f>-IS!K13</f>
        <v>1250.08</v>
      </c>
      <c r="L21">
        <f>-IS!L13</f>
        <v>1250.08</v>
      </c>
      <c r="M21">
        <f>-IS!M13</f>
        <v>1250.08</v>
      </c>
      <c r="N21">
        <f>-IS!N13</f>
        <v>1250.08</v>
      </c>
      <c r="O21">
        <f>-IS!O13</f>
        <v>1250.08</v>
      </c>
      <c r="P21">
        <f>-IS!P13</f>
        <v>1250.08</v>
      </c>
      <c r="Q21">
        <f>-IS!Q13</f>
        <v>1250.08</v>
      </c>
      <c r="R21">
        <f>-IS!R13</f>
        <v>1250.08</v>
      </c>
      <c r="S21">
        <f>-IS!S13</f>
        <v>1250.08</v>
      </c>
    </row>
    <row r="22" spans="2:19" x14ac:dyDescent="0.25">
      <c r="B22" s="9" t="s">
        <v>58</v>
      </c>
      <c r="E22" s="5">
        <f>E21/IS!E6</f>
        <v>6.920970992808477E-2</v>
      </c>
      <c r="F22" s="5">
        <f>F21/IS!F6</f>
        <v>5.4452790823771448E-2</v>
      </c>
      <c r="G22" s="5">
        <f>G21/IS!G6</f>
        <v>4.5856282416926367E-2</v>
      </c>
      <c r="H22" s="5">
        <f>H21/IS!H6</f>
        <v>4.9455619958696205E-2</v>
      </c>
      <c r="I22" s="5">
        <f>I21/IS!I6</f>
        <v>4.0356053198141673E-2</v>
      </c>
      <c r="J22" s="5">
        <f>AVERAGE(I22,G22,F22,E22)</f>
        <v>5.2468709091731069E-2</v>
      </c>
      <c r="K22" s="5">
        <f>J22</f>
        <v>5.2468709091731069E-2</v>
      </c>
      <c r="L22" s="5">
        <f t="shared" ref="L22:S22" si="24">K22</f>
        <v>5.2468709091731069E-2</v>
      </c>
      <c r="M22" s="5">
        <f t="shared" si="24"/>
        <v>5.2468709091731069E-2</v>
      </c>
      <c r="N22" s="5">
        <f t="shared" si="24"/>
        <v>5.2468709091731069E-2</v>
      </c>
      <c r="O22" s="5">
        <f t="shared" si="24"/>
        <v>5.2468709091731069E-2</v>
      </c>
      <c r="P22" s="5">
        <f t="shared" si="24"/>
        <v>5.2468709091731069E-2</v>
      </c>
      <c r="Q22" s="5">
        <f t="shared" si="24"/>
        <v>5.2468709091731069E-2</v>
      </c>
      <c r="R22" s="5">
        <f t="shared" si="24"/>
        <v>5.2468709091731069E-2</v>
      </c>
      <c r="S22" s="5">
        <f t="shared" si="24"/>
        <v>5.2468709091731069E-2</v>
      </c>
    </row>
    <row r="23" spans="2:19" x14ac:dyDescent="0.25">
      <c r="B23" s="9"/>
    </row>
    <row r="24" spans="2:19" x14ac:dyDescent="0.25">
      <c r="B24" s="9" t="s">
        <v>16</v>
      </c>
      <c r="E24">
        <f>IS!E19</f>
        <v>69</v>
      </c>
      <c r="F24">
        <f>IS!F19</f>
        <v>48</v>
      </c>
      <c r="G24">
        <f>IS!G19</f>
        <v>59</v>
      </c>
      <c r="H24">
        <f>IS!H19</f>
        <v>208.9</v>
      </c>
      <c r="I24">
        <f>IS!I19</f>
        <v>140.87</v>
      </c>
      <c r="J24">
        <f>J25*J12</f>
        <v>138.48307836499148</v>
      </c>
      <c r="K24">
        <f t="shared" ref="K24:S24" si="25">K25*K12</f>
        <v>177.25834030718912</v>
      </c>
      <c r="L24">
        <f t="shared" si="25"/>
        <v>222.12685769744635</v>
      </c>
      <c r="M24">
        <f t="shared" si="25"/>
        <v>272.38305925149365</v>
      </c>
      <c r="N24">
        <f t="shared" si="25"/>
        <v>326.68943168976017</v>
      </c>
      <c r="O24">
        <f t="shared" si="25"/>
        <v>383.04335865624387</v>
      </c>
      <c r="P24">
        <f t="shared" si="25"/>
        <v>438.82404776055932</v>
      </c>
      <c r="Q24">
        <f t="shared" si="25"/>
        <v>490.93440343212575</v>
      </c>
      <c r="R24">
        <f t="shared" si="25"/>
        <v>536.03900174745218</v>
      </c>
      <c r="S24">
        <f t="shared" si="25"/>
        <v>570.88153686103647</v>
      </c>
    </row>
    <row r="25" spans="2:19" x14ac:dyDescent="0.25">
      <c r="B25" s="9" t="s">
        <v>59</v>
      </c>
      <c r="E25" s="5">
        <f>E24/IS!E6</f>
        <v>4.5898414568981624E-3</v>
      </c>
      <c r="F25" s="5">
        <f>F24/IS!F6</f>
        <v>2.3994577225547025E-3</v>
      </c>
      <c r="G25" s="5">
        <f>G24/IS!G6</f>
        <v>2.3723170702286268E-3</v>
      </c>
      <c r="H25" s="5">
        <f>H24/IS!H6</f>
        <v>8.6525900196578222E-3</v>
      </c>
      <c r="I25" s="5">
        <f>I24/IS!I6</f>
        <v>4.5476747200356923E-3</v>
      </c>
      <c r="J25" s="15">
        <f>AVERAGE(E25,F25,G25,I25)</f>
        <v>3.4773227424292961E-3</v>
      </c>
      <c r="K25" s="15">
        <f>J25</f>
        <v>3.4773227424292961E-3</v>
      </c>
      <c r="L25" s="15">
        <f t="shared" ref="L25:S25" si="26">K25</f>
        <v>3.4773227424292961E-3</v>
      </c>
      <c r="M25" s="15">
        <f t="shared" si="26"/>
        <v>3.4773227424292961E-3</v>
      </c>
      <c r="N25" s="15">
        <f t="shared" si="26"/>
        <v>3.4773227424292961E-3</v>
      </c>
      <c r="O25" s="15">
        <f t="shared" si="26"/>
        <v>3.4773227424292961E-3</v>
      </c>
      <c r="P25" s="15">
        <f t="shared" si="26"/>
        <v>3.4773227424292961E-3</v>
      </c>
      <c r="Q25" s="15">
        <f t="shared" si="26"/>
        <v>3.4773227424292961E-3</v>
      </c>
      <c r="R25" s="15">
        <f t="shared" si="26"/>
        <v>3.4773227424292961E-3</v>
      </c>
      <c r="S25" s="15">
        <f t="shared" si="26"/>
        <v>3.4773227424292961E-3</v>
      </c>
    </row>
    <row r="26" spans="2:19" x14ac:dyDescent="0.25">
      <c r="B26" s="9"/>
    </row>
    <row r="27" spans="2:19" x14ac:dyDescent="0.25">
      <c r="B27" s="42" t="s">
        <v>60</v>
      </c>
    </row>
    <row r="28" spans="2:19" x14ac:dyDescent="0.25">
      <c r="B28" s="9" t="s">
        <v>61</v>
      </c>
      <c r="E28">
        <v>-5.9096774193548391</v>
      </c>
      <c r="F28">
        <v>-8.0511363636363633</v>
      </c>
      <c r="G28">
        <v>-8</v>
      </c>
      <c r="H28">
        <v>-8.6709401709401703</v>
      </c>
      <c r="I28">
        <v>-8.4859154929577461</v>
      </c>
      <c r="J28">
        <v>-8.5241404552513771</v>
      </c>
      <c r="K28">
        <v>-8.67475660025565</v>
      </c>
      <c r="L28">
        <v>-8.9452690402999</v>
      </c>
      <c r="M28">
        <v>-9.3483619864906213</v>
      </c>
      <c r="N28">
        <v>-9.9028981295322716</v>
      </c>
      <c r="O28">
        <v>-10.635419213857354</v>
      </c>
      <c r="P28">
        <v>-11.582318699554312</v>
      </c>
      <c r="Q28">
        <v>-12.792942189093717</v>
      </c>
      <c r="R28">
        <v>-14.333995805888048</v>
      </c>
      <c r="S28">
        <v>-16.295828793012944</v>
      </c>
    </row>
    <row r="29" spans="2:19" x14ac:dyDescent="0.25">
      <c r="B29" s="9" t="s">
        <v>62</v>
      </c>
      <c r="E29" s="4"/>
      <c r="F29" s="4">
        <f>F28/E28-1</f>
        <v>0.3623647776895591</v>
      </c>
      <c r="G29" s="4">
        <f>G28/F28-1</f>
        <v>-6.3514467184191403E-3</v>
      </c>
      <c r="H29" s="4">
        <f>H28/G28-1</f>
        <v>8.3867521367521292E-2</v>
      </c>
      <c r="I29" s="4">
        <f>I28/H28-1</f>
        <v>-2.133847937303468E-2</v>
      </c>
      <c r="J29" s="4">
        <f>AVERAGE(G29:I29)</f>
        <v>1.8725865092022492E-2</v>
      </c>
      <c r="K29" s="4">
        <f>J29</f>
        <v>1.8725865092022492E-2</v>
      </c>
      <c r="L29" s="4">
        <f t="shared" ref="L29:S29" si="27">K29</f>
        <v>1.8725865092022492E-2</v>
      </c>
      <c r="M29" s="4">
        <f t="shared" si="27"/>
        <v>1.8725865092022492E-2</v>
      </c>
      <c r="N29" s="4">
        <f t="shared" si="27"/>
        <v>1.8725865092022492E-2</v>
      </c>
      <c r="O29" s="4">
        <f t="shared" si="27"/>
        <v>1.8725865092022492E-2</v>
      </c>
      <c r="P29" s="4">
        <f t="shared" si="27"/>
        <v>1.8725865092022492E-2</v>
      </c>
      <c r="Q29" s="4">
        <f t="shared" si="27"/>
        <v>1.8725865092022492E-2</v>
      </c>
      <c r="R29" s="4">
        <f t="shared" si="27"/>
        <v>1.8725865092022492E-2</v>
      </c>
      <c r="S29" s="4">
        <f t="shared" si="27"/>
        <v>1.8725865092022492E-2</v>
      </c>
    </row>
    <row r="30" spans="2:19" x14ac:dyDescent="0.25">
      <c r="B30" s="9" t="s">
        <v>63</v>
      </c>
      <c r="E30">
        <v>-916</v>
      </c>
      <c r="F30">
        <v>-1417</v>
      </c>
      <c r="G30">
        <v>-1712</v>
      </c>
      <c r="H30">
        <v>-2029</v>
      </c>
      <c r="I30">
        <v>-2410</v>
      </c>
      <c r="J30">
        <v>-2876.8387628368287</v>
      </c>
      <c r="K30">
        <v>-3434.1084096931677</v>
      </c>
      <c r="L30">
        <v>-4099.3262194146228</v>
      </c>
      <c r="M30">
        <v>-4893.4027259441236</v>
      </c>
      <c r="N30">
        <v>-5841.2990224761234</v>
      </c>
      <c r="O30">
        <v>-6972.8113913610732</v>
      </c>
      <c r="P30">
        <v>-8323.5079239077731</v>
      </c>
      <c r="Q30">
        <v>-9935.8465718993266</v>
      </c>
      <c r="R30">
        <v>-11860.509775783985</v>
      </c>
      <c r="S30">
        <v>-14157.997622398552</v>
      </c>
    </row>
    <row r="31" spans="2:19" x14ac:dyDescent="0.25">
      <c r="B31" s="9"/>
    </row>
    <row r="32" spans="2:19" x14ac:dyDescent="0.25">
      <c r="B32" s="9" t="s">
        <v>64</v>
      </c>
      <c r="E32">
        <f>IS!E16</f>
        <v>-82.991995050909253</v>
      </c>
      <c r="F32">
        <f>IS!F16</f>
        <v>-136.75897722885719</v>
      </c>
      <c r="G32">
        <f>IS!G16</f>
        <v>-225.35929930603797</v>
      </c>
      <c r="H32">
        <f>IS!H16</f>
        <v>-371.36</v>
      </c>
      <c r="I32">
        <f>IS!I16</f>
        <v>-421.06</v>
      </c>
      <c r="J32">
        <f>IS!J16</f>
        <v>-639.73801058670688</v>
      </c>
      <c r="K32">
        <f>IS!K16</f>
        <v>-971.98670543256901</v>
      </c>
      <c r="L32">
        <f>IS!L16</f>
        <v>-1476.7891541589304</v>
      </c>
      <c r="M32">
        <f>IS!M16</f>
        <v>-2243.7613535782543</v>
      </c>
      <c r="N32">
        <f>IS!N16</f>
        <v>-3409.0614747767281</v>
      </c>
      <c r="O32">
        <f>IS!O16</f>
        <v>-5179.5615965455027</v>
      </c>
      <c r="P32">
        <f>IS!P16</f>
        <v>-7869.5730572491502</v>
      </c>
      <c r="Q32">
        <f>IS!Q16</f>
        <v>-11956.645161761555</v>
      </c>
      <c r="R32">
        <f>IS!R16</f>
        <v>-18166.343013053985</v>
      </c>
      <c r="S32">
        <f>IS!S16</f>
        <v>-27601.054811207145</v>
      </c>
    </row>
    <row r="33" spans="2:20" x14ac:dyDescent="0.25">
      <c r="B33" s="9" t="s">
        <v>65</v>
      </c>
      <c r="E33">
        <f>E43</f>
        <v>1513.9782765348948</v>
      </c>
      <c r="F33">
        <f t="shared" ref="F33:S33" si="28">F43</f>
        <v>2794.2192993060376</v>
      </c>
      <c r="G33">
        <f t="shared" si="28"/>
        <v>4280.8599999999997</v>
      </c>
      <c r="H33">
        <f t="shared" si="28"/>
        <v>5938.5</v>
      </c>
      <c r="I33">
        <f t="shared" si="28"/>
        <v>7770.46</v>
      </c>
      <c r="J33">
        <f t="shared" si="28"/>
        <v>10007.560752250121</v>
      </c>
      <c r="K33">
        <f t="shared" si="28"/>
        <v>12469.68245651072</v>
      </c>
      <c r="L33">
        <f t="shared" si="28"/>
        <v>15092.219521766412</v>
      </c>
      <c r="M33">
        <f t="shared" si="28"/>
        <v>17741.860894132282</v>
      </c>
      <c r="N33">
        <f t="shared" si="28"/>
        <v>20174.098441831677</v>
      </c>
      <c r="O33">
        <f t="shared" si="28"/>
        <v>21967.348236647245</v>
      </c>
      <c r="P33">
        <f t="shared" si="28"/>
        <v>22421.283103305868</v>
      </c>
      <c r="Q33">
        <f t="shared" si="28"/>
        <v>20400.48451344364</v>
      </c>
      <c r="R33">
        <f t="shared" si="28"/>
        <v>14094.651276173638</v>
      </c>
      <c r="S33">
        <f t="shared" si="28"/>
        <v>28252.648898572188</v>
      </c>
    </row>
    <row r="34" spans="2:20" x14ac:dyDescent="0.25">
      <c r="B34" s="9"/>
    </row>
    <row r="35" spans="2:20" x14ac:dyDescent="0.25">
      <c r="B35" s="9" t="s">
        <v>66</v>
      </c>
      <c r="E35" s="4">
        <f>E32/E33*-1</f>
        <v>5.4817163718396601E-2</v>
      </c>
      <c r="F35" s="4">
        <f t="shared" ref="F35:S35" si="29">F32/F33*-1</f>
        <v>4.8943537560857217E-2</v>
      </c>
      <c r="G35" s="4">
        <f t="shared" si="29"/>
        <v>5.2643464001634714E-2</v>
      </c>
      <c r="H35" s="4">
        <f t="shared" si="29"/>
        <v>6.2534310010945532E-2</v>
      </c>
      <c r="I35" s="4">
        <f t="shared" si="29"/>
        <v>5.4187268192616656E-2</v>
      </c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2:20" x14ac:dyDescent="0.25">
      <c r="B36" s="9" t="s">
        <v>67</v>
      </c>
      <c r="E36" s="16">
        <f>AVERAGE(E35:I35)</f>
        <v>5.4625148696890148E-2</v>
      </c>
    </row>
    <row r="37" spans="2:20" x14ac:dyDescent="0.25">
      <c r="B37" s="9"/>
    </row>
    <row r="38" spans="2:20" x14ac:dyDescent="0.25">
      <c r="B38" s="9"/>
    </row>
    <row r="39" spans="2:20" x14ac:dyDescent="0.25">
      <c r="B39" s="10" t="s">
        <v>65</v>
      </c>
    </row>
    <row r="40" spans="2:20" x14ac:dyDescent="0.25">
      <c r="B40" s="9" t="s">
        <v>68</v>
      </c>
      <c r="F40">
        <f>F43-F41-F42</f>
        <v>1513.9782765348948</v>
      </c>
      <c r="G40">
        <f>G43-G41-G42</f>
        <v>2794.2192993060376</v>
      </c>
      <c r="H40">
        <f>H43-H41-H42</f>
        <v>4280.8599999999997</v>
      </c>
      <c r="I40">
        <f t="shared" ref="G40:S40" si="30">H43</f>
        <v>5938.5</v>
      </c>
      <c r="J40">
        <f t="shared" si="30"/>
        <v>7770.46</v>
      </c>
      <c r="K40">
        <f t="shared" si="30"/>
        <v>10007.560752250121</v>
      </c>
      <c r="L40">
        <f t="shared" si="30"/>
        <v>12469.68245651072</v>
      </c>
      <c r="M40">
        <f t="shared" si="30"/>
        <v>15092.219521766412</v>
      </c>
      <c r="N40">
        <f t="shared" si="30"/>
        <v>17741.860894132282</v>
      </c>
      <c r="O40">
        <f t="shared" si="30"/>
        <v>20174.098441831677</v>
      </c>
      <c r="P40">
        <f t="shared" si="30"/>
        <v>21967.348236647245</v>
      </c>
      <c r="Q40">
        <f t="shared" si="30"/>
        <v>22421.283103305868</v>
      </c>
      <c r="R40">
        <f t="shared" si="30"/>
        <v>20400.48451344364</v>
      </c>
      <c r="S40">
        <f t="shared" si="30"/>
        <v>14094.651276173638</v>
      </c>
    </row>
    <row r="41" spans="2:20" x14ac:dyDescent="0.25">
      <c r="B41" s="9" t="s">
        <v>69</v>
      </c>
      <c r="F41">
        <f>-F30</f>
        <v>1417</v>
      </c>
      <c r="G41">
        <f>-G30</f>
        <v>1712</v>
      </c>
      <c r="H41">
        <f t="shared" ref="H41:S41" si="31">-H30</f>
        <v>2029</v>
      </c>
      <c r="I41">
        <f t="shared" si="31"/>
        <v>2410</v>
      </c>
      <c r="J41">
        <f t="shared" si="31"/>
        <v>2876.8387628368287</v>
      </c>
      <c r="K41">
        <f t="shared" si="31"/>
        <v>3434.1084096931677</v>
      </c>
      <c r="L41">
        <f t="shared" si="31"/>
        <v>4099.3262194146228</v>
      </c>
      <c r="M41">
        <f t="shared" si="31"/>
        <v>4893.4027259441236</v>
      </c>
      <c r="N41">
        <f t="shared" si="31"/>
        <v>5841.2990224761234</v>
      </c>
      <c r="O41">
        <f t="shared" si="31"/>
        <v>6972.8113913610732</v>
      </c>
      <c r="P41">
        <f t="shared" si="31"/>
        <v>8323.5079239077731</v>
      </c>
      <c r="Q41">
        <f t="shared" si="31"/>
        <v>9935.8465718993266</v>
      </c>
      <c r="R41">
        <f t="shared" si="31"/>
        <v>11860.509775783985</v>
      </c>
      <c r="S41">
        <f t="shared" si="31"/>
        <v>14157.997622398552</v>
      </c>
    </row>
    <row r="42" spans="2:20" x14ac:dyDescent="0.25">
      <c r="B42" s="9" t="s">
        <v>70</v>
      </c>
      <c r="F42">
        <f>F32</f>
        <v>-136.75897722885719</v>
      </c>
      <c r="G42">
        <f>G32</f>
        <v>-225.35929930603797</v>
      </c>
      <c r="H42">
        <f t="shared" ref="H42:S42" si="32">H32</f>
        <v>-371.36</v>
      </c>
      <c r="I42">
        <f t="shared" si="32"/>
        <v>-421.06</v>
      </c>
      <c r="J42">
        <f t="shared" si="32"/>
        <v>-639.73801058670688</v>
      </c>
      <c r="K42">
        <f t="shared" si="32"/>
        <v>-971.98670543256901</v>
      </c>
      <c r="L42">
        <f t="shared" si="32"/>
        <v>-1476.7891541589304</v>
      </c>
      <c r="M42">
        <f t="shared" si="32"/>
        <v>-2243.7613535782543</v>
      </c>
      <c r="N42">
        <f t="shared" si="32"/>
        <v>-3409.0614747767281</v>
      </c>
      <c r="O42">
        <f t="shared" si="32"/>
        <v>-5179.5615965455027</v>
      </c>
      <c r="P42">
        <f t="shared" si="32"/>
        <v>-7869.5730572491502</v>
      </c>
      <c r="Q42">
        <f t="shared" si="32"/>
        <v>-11956.645161761555</v>
      </c>
      <c r="R42">
        <f t="shared" si="32"/>
        <v>-18166.343013053985</v>
      </c>
    </row>
    <row r="43" spans="2:20" ht="15.75" thickBot="1" x14ac:dyDescent="0.3">
      <c r="B43" s="43" t="s">
        <v>71</v>
      </c>
      <c r="C43" s="44"/>
      <c r="D43" s="44"/>
      <c r="E43" s="44">
        <f>F40</f>
        <v>1513.9782765348948</v>
      </c>
      <c r="F43" s="44">
        <f>G40</f>
        <v>2794.2192993060376</v>
      </c>
      <c r="G43" s="44">
        <f>H40</f>
        <v>4280.8599999999997</v>
      </c>
      <c r="H43" s="44">
        <f>BS!H8</f>
        <v>5938.5</v>
      </c>
      <c r="I43" s="44">
        <f>BS!I8</f>
        <v>7770.46</v>
      </c>
      <c r="J43" s="44">
        <f>SUM(J40:J42)</f>
        <v>10007.560752250121</v>
      </c>
      <c r="K43" s="44">
        <f t="shared" ref="K43:S43" si="33">SUM(K40:K42)</f>
        <v>12469.68245651072</v>
      </c>
      <c r="L43" s="44">
        <f t="shared" si="33"/>
        <v>15092.219521766412</v>
      </c>
      <c r="M43" s="44">
        <f t="shared" si="33"/>
        <v>17741.860894132282</v>
      </c>
      <c r="N43" s="44">
        <f t="shared" si="33"/>
        <v>20174.098441831677</v>
      </c>
      <c r="O43" s="44">
        <f t="shared" si="33"/>
        <v>21967.348236647245</v>
      </c>
      <c r="P43" s="44">
        <f t="shared" si="33"/>
        <v>22421.283103305868</v>
      </c>
      <c r="Q43" s="44">
        <f t="shared" si="33"/>
        <v>20400.48451344364</v>
      </c>
      <c r="R43" s="44">
        <f t="shared" si="33"/>
        <v>14094.651276173638</v>
      </c>
      <c r="S43" s="44">
        <f t="shared" si="33"/>
        <v>28252.648898572188</v>
      </c>
      <c r="T43" s="2">
        <v>0.27949382124724087</v>
      </c>
    </row>
    <row r="44" spans="2:20" x14ac:dyDescent="0.25">
      <c r="B44" s="10"/>
    </row>
    <row r="45" spans="2:20" x14ac:dyDescent="0.25">
      <c r="B45" s="42" t="s">
        <v>72</v>
      </c>
    </row>
    <row r="46" spans="2:20" x14ac:dyDescent="0.25">
      <c r="B46" s="9" t="s">
        <v>73</v>
      </c>
      <c r="E46">
        <v>-59.41</v>
      </c>
      <c r="F46">
        <v>-47.15</v>
      </c>
      <c r="G46">
        <v>-62.76</v>
      </c>
      <c r="H46">
        <v>-34.479999999999997</v>
      </c>
      <c r="I46">
        <v>-39.6</v>
      </c>
      <c r="J46">
        <f>J47*$E$49</f>
        <v>-83.10741939250812</v>
      </c>
      <c r="K46">
        <f t="shared" ref="K46:S46" si="34">K47*$E$49</f>
        <v>-97.483603678307475</v>
      </c>
      <c r="L46">
        <f t="shared" si="34"/>
        <v>-112.84802055388791</v>
      </c>
      <c r="M46">
        <f t="shared" si="34"/>
        <v>-128.89922647179608</v>
      </c>
      <c r="N46">
        <f t="shared" si="34"/>
        <v>-145.25195941792632</v>
      </c>
      <c r="O46">
        <f t="shared" si="34"/>
        <v>-161.44633009859425</v>
      </c>
      <c r="P46">
        <f t="shared" si="34"/>
        <v>-176.96433923503474</v>
      </c>
      <c r="Q46">
        <f t="shared" si="34"/>
        <v>-191.25346474671679</v>
      </c>
      <c r="R46">
        <f t="shared" si="34"/>
        <v>-203.75625749073515</v>
      </c>
      <c r="S46">
        <f t="shared" si="34"/>
        <v>-213.94407036527193</v>
      </c>
    </row>
    <row r="47" spans="2:20" x14ac:dyDescent="0.25">
      <c r="B47" s="9" t="s">
        <v>74</v>
      </c>
      <c r="E47">
        <f>E6</f>
        <v>155</v>
      </c>
      <c r="F47">
        <f t="shared" ref="F47:S47" si="35">F6</f>
        <v>176</v>
      </c>
      <c r="G47">
        <f t="shared" si="35"/>
        <v>214</v>
      </c>
      <c r="H47">
        <f t="shared" si="35"/>
        <v>234</v>
      </c>
      <c r="I47">
        <f t="shared" si="35"/>
        <v>284</v>
      </c>
      <c r="J47">
        <f t="shared" si="35"/>
        <v>337.49312061892704</v>
      </c>
      <c r="K47">
        <f t="shared" si="35"/>
        <v>395.87374815703328</v>
      </c>
      <c r="L47">
        <f t="shared" si="35"/>
        <v>458.26751559360457</v>
      </c>
      <c r="M47">
        <f t="shared" si="35"/>
        <v>523.45028284266391</v>
      </c>
      <c r="N47">
        <f t="shared" si="35"/>
        <v>589.85752918696505</v>
      </c>
      <c r="O47">
        <f t="shared" si="35"/>
        <v>655.62167801302007</v>
      </c>
      <c r="P47">
        <f t="shared" si="35"/>
        <v>718.63917232980839</v>
      </c>
      <c r="Q47">
        <f t="shared" si="35"/>
        <v>776.66626058623706</v>
      </c>
      <c r="R47">
        <f t="shared" si="35"/>
        <v>827.43918279311788</v>
      </c>
      <c r="S47">
        <f t="shared" si="35"/>
        <v>868.81114193277381</v>
      </c>
    </row>
    <row r="48" spans="2:20" x14ac:dyDescent="0.25">
      <c r="B48" s="9" t="s">
        <v>75</v>
      </c>
      <c r="E48">
        <f>E46/E47</f>
        <v>-0.38329032258064516</v>
      </c>
      <c r="F48">
        <f t="shared" ref="F48:I48" si="36">F46/F47</f>
        <v>-0.26789772727272726</v>
      </c>
      <c r="G48">
        <f t="shared" si="36"/>
        <v>-0.29327102803738314</v>
      </c>
      <c r="H48">
        <f t="shared" si="36"/>
        <v>-0.14735042735042733</v>
      </c>
      <c r="I48">
        <f t="shared" si="36"/>
        <v>-0.13943661971830987</v>
      </c>
    </row>
    <row r="49" spans="2:19" x14ac:dyDescent="0.25">
      <c r="B49" s="9" t="s">
        <v>76</v>
      </c>
      <c r="E49">
        <f>AVERAGE(E48:I48)</f>
        <v>-0.24624922499189855</v>
      </c>
    </row>
    <row r="50" spans="2:19" x14ac:dyDescent="0.25">
      <c r="B50" s="9"/>
    </row>
    <row r="51" spans="2:19" x14ac:dyDescent="0.25">
      <c r="B51" s="9"/>
    </row>
    <row r="52" spans="2:19" x14ac:dyDescent="0.25">
      <c r="B52" s="42" t="s">
        <v>77</v>
      </c>
    </row>
    <row r="53" spans="2:19" x14ac:dyDescent="0.25">
      <c r="B53" s="9" t="s">
        <v>78</v>
      </c>
      <c r="E53">
        <v>1</v>
      </c>
      <c r="F53">
        <v>1</v>
      </c>
      <c r="G53">
        <v>0</v>
      </c>
      <c r="H53">
        <v>1</v>
      </c>
      <c r="I53">
        <v>1</v>
      </c>
      <c r="J53">
        <f>AVERAGE(E53:I53)</f>
        <v>0.8</v>
      </c>
      <c r="K53">
        <f>J53</f>
        <v>0.8</v>
      </c>
      <c r="L53">
        <f t="shared" ref="L53:S53" si="37">K53</f>
        <v>0.8</v>
      </c>
      <c r="M53">
        <f t="shared" si="37"/>
        <v>0.8</v>
      </c>
      <c r="N53">
        <f t="shared" si="37"/>
        <v>0.8</v>
      </c>
      <c r="O53">
        <f t="shared" si="37"/>
        <v>0.8</v>
      </c>
      <c r="P53">
        <f t="shared" si="37"/>
        <v>0.8</v>
      </c>
      <c r="Q53">
        <f t="shared" si="37"/>
        <v>0.8</v>
      </c>
      <c r="R53">
        <f t="shared" si="37"/>
        <v>0.8</v>
      </c>
      <c r="S53">
        <f t="shared" si="37"/>
        <v>0.8</v>
      </c>
    </row>
    <row r="54" spans="2:19" x14ac:dyDescent="0.25">
      <c r="B54" s="9" t="s">
        <v>79</v>
      </c>
      <c r="E54">
        <v>30</v>
      </c>
      <c r="F54">
        <v>29.3</v>
      </c>
      <c r="G54">
        <v>30.4</v>
      </c>
      <c r="H54">
        <v>36.5</v>
      </c>
      <c r="I54">
        <v>33.299999999999997</v>
      </c>
      <c r="J54">
        <f t="shared" ref="J54:J55" si="38">AVERAGE(E54:I54)</f>
        <v>31.9</v>
      </c>
      <c r="K54">
        <f t="shared" ref="K54:S55" si="39">J54</f>
        <v>31.9</v>
      </c>
      <c r="L54">
        <f t="shared" si="39"/>
        <v>31.9</v>
      </c>
      <c r="M54">
        <f t="shared" si="39"/>
        <v>31.9</v>
      </c>
      <c r="N54">
        <f t="shared" si="39"/>
        <v>31.9</v>
      </c>
      <c r="O54">
        <f t="shared" si="39"/>
        <v>31.9</v>
      </c>
      <c r="P54">
        <f t="shared" si="39"/>
        <v>31.9</v>
      </c>
      <c r="Q54">
        <f t="shared" si="39"/>
        <v>31.9</v>
      </c>
      <c r="R54">
        <f t="shared" si="39"/>
        <v>31.9</v>
      </c>
      <c r="S54">
        <f t="shared" si="39"/>
        <v>31.9</v>
      </c>
    </row>
    <row r="55" spans="2:19" x14ac:dyDescent="0.25">
      <c r="B55" s="9" t="s">
        <v>80</v>
      </c>
      <c r="E55">
        <v>9</v>
      </c>
      <c r="F55">
        <v>8.3000000000000007</v>
      </c>
      <c r="G55">
        <v>7.9</v>
      </c>
      <c r="H55">
        <v>9.1</v>
      </c>
      <c r="I55">
        <v>7.7</v>
      </c>
      <c r="J55">
        <f t="shared" si="38"/>
        <v>8.4000000000000021</v>
      </c>
      <c r="K55">
        <f t="shared" si="39"/>
        <v>8.4000000000000021</v>
      </c>
      <c r="L55">
        <f t="shared" si="39"/>
        <v>8.4000000000000021</v>
      </c>
      <c r="M55">
        <f t="shared" si="39"/>
        <v>8.4000000000000021</v>
      </c>
      <c r="N55">
        <f t="shared" si="39"/>
        <v>8.4000000000000021</v>
      </c>
      <c r="O55">
        <f t="shared" si="39"/>
        <v>8.4000000000000021</v>
      </c>
      <c r="P55">
        <f t="shared" si="39"/>
        <v>8.4000000000000021</v>
      </c>
      <c r="Q55">
        <f t="shared" si="39"/>
        <v>8.4000000000000021</v>
      </c>
      <c r="R55">
        <f t="shared" si="39"/>
        <v>8.4000000000000021</v>
      </c>
      <c r="S55">
        <f t="shared" si="39"/>
        <v>8.4000000000000021</v>
      </c>
    </row>
    <row r="56" spans="2:19" ht="15.75" thickBot="1" x14ac:dyDescent="0.3">
      <c r="B56" s="45" t="s">
        <v>81</v>
      </c>
      <c r="C56" s="44"/>
      <c r="D56" s="44"/>
      <c r="E56" s="44">
        <f>E53+E54-E55</f>
        <v>22</v>
      </c>
      <c r="F56" s="44">
        <f t="shared" ref="F56:S56" si="40">F53+F54-F55</f>
        <v>22</v>
      </c>
      <c r="G56" s="44">
        <f t="shared" si="40"/>
        <v>22.5</v>
      </c>
      <c r="H56" s="44">
        <f t="shared" si="40"/>
        <v>28.4</v>
      </c>
      <c r="I56" s="44">
        <f t="shared" si="40"/>
        <v>26.599999999999998</v>
      </c>
      <c r="J56" s="44">
        <f t="shared" si="40"/>
        <v>24.299999999999994</v>
      </c>
      <c r="K56" s="44">
        <f t="shared" si="40"/>
        <v>24.299999999999994</v>
      </c>
      <c r="L56" s="44">
        <f t="shared" si="40"/>
        <v>24.299999999999994</v>
      </c>
      <c r="M56" s="44">
        <f t="shared" si="40"/>
        <v>24.299999999999994</v>
      </c>
      <c r="N56" s="44">
        <f t="shared" si="40"/>
        <v>24.299999999999994</v>
      </c>
      <c r="O56" s="44">
        <f t="shared" si="40"/>
        <v>24.299999999999994</v>
      </c>
      <c r="P56" s="44">
        <f t="shared" si="40"/>
        <v>24.299999999999994</v>
      </c>
      <c r="Q56" s="44">
        <f t="shared" si="40"/>
        <v>24.299999999999994</v>
      </c>
      <c r="R56" s="44">
        <f t="shared" si="40"/>
        <v>24.299999999999994</v>
      </c>
      <c r="S56" s="44">
        <f t="shared" si="40"/>
        <v>24.299999999999994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2BA82-C87B-42D0-9061-0B2B2143C1ED}">
  <dimension ref="A1:W30"/>
  <sheetViews>
    <sheetView showGridLines="0" workbookViewId="0">
      <pane ySplit="5" topLeftCell="A6" activePane="bottomLeft" state="frozen"/>
      <selection pane="bottomLeft" activeCell="B41" sqref="B41"/>
    </sheetView>
  </sheetViews>
  <sheetFormatPr defaultRowHeight="15" x14ac:dyDescent="0.25"/>
  <cols>
    <col min="2" max="2" width="37.5703125" bestFit="1" customWidth="1"/>
    <col min="10" max="10" width="9.5703125" bestFit="1" customWidth="1"/>
    <col min="11" max="15" width="10.5703125" bestFit="1" customWidth="1"/>
    <col min="16" max="19" width="11.5703125" bestFit="1" customWidth="1"/>
  </cols>
  <sheetData>
    <row r="1" spans="1:23" x14ac:dyDescent="0.25">
      <c r="A1" s="42" t="s">
        <v>0</v>
      </c>
      <c r="B1" s="42"/>
    </row>
    <row r="2" spans="1:23" x14ac:dyDescent="0.25">
      <c r="A2" s="42" t="s">
        <v>1</v>
      </c>
      <c r="B2" s="42"/>
    </row>
    <row r="4" spans="1:23" x14ac:dyDescent="0.25">
      <c r="A4" s="1" t="s">
        <v>2</v>
      </c>
      <c r="E4" s="2">
        <v>2018</v>
      </c>
      <c r="F4" s="2">
        <f>E4+1</f>
        <v>2019</v>
      </c>
      <c r="G4" s="2">
        <f t="shared" ref="G4:S4" si="0">F4+1</f>
        <v>2020</v>
      </c>
      <c r="H4" s="2">
        <f t="shared" si="0"/>
        <v>2021</v>
      </c>
      <c r="I4" s="2">
        <f t="shared" si="0"/>
        <v>2022</v>
      </c>
      <c r="J4" s="2">
        <f t="shared" si="0"/>
        <v>2023</v>
      </c>
      <c r="K4" s="2">
        <f t="shared" si="0"/>
        <v>2024</v>
      </c>
      <c r="L4" s="2">
        <f t="shared" si="0"/>
        <v>2025</v>
      </c>
      <c r="M4" s="2">
        <f t="shared" si="0"/>
        <v>2026</v>
      </c>
      <c r="N4" s="2">
        <f t="shared" si="0"/>
        <v>2027</v>
      </c>
      <c r="O4" s="2">
        <f t="shared" si="0"/>
        <v>2028</v>
      </c>
      <c r="P4" s="2">
        <f t="shared" si="0"/>
        <v>2029</v>
      </c>
      <c r="Q4" s="2">
        <f t="shared" si="0"/>
        <v>2030</v>
      </c>
      <c r="R4" s="2">
        <f t="shared" si="0"/>
        <v>2031</v>
      </c>
      <c r="S4" s="2">
        <f t="shared" si="0"/>
        <v>2032</v>
      </c>
    </row>
    <row r="5" spans="1:23" x14ac:dyDescent="0.25">
      <c r="B5" s="42" t="s">
        <v>3</v>
      </c>
      <c r="C5" s="42"/>
      <c r="D5" s="42"/>
      <c r="E5" s="42" t="str">
        <f>_xlfn.CONCAT(E4,"A")</f>
        <v>2018A</v>
      </c>
      <c r="F5" s="42" t="str">
        <f t="shared" ref="F5:I5" si="1">_xlfn.CONCAT(F4,"A")</f>
        <v>2019A</v>
      </c>
      <c r="G5" s="42" t="str">
        <f t="shared" si="1"/>
        <v>2020A</v>
      </c>
      <c r="H5" s="42" t="str">
        <f t="shared" si="1"/>
        <v>2021A</v>
      </c>
      <c r="I5" s="42" t="str">
        <f t="shared" si="1"/>
        <v>2022A</v>
      </c>
      <c r="J5" s="42" t="str">
        <f>_xlfn.CONCAT(J4,"E")</f>
        <v>2023E</v>
      </c>
      <c r="K5" s="42" t="str">
        <f>_xlfn.CONCAT(K4,"E")</f>
        <v>2024E</v>
      </c>
      <c r="L5" s="42" t="str">
        <f t="shared" ref="L5:S5" si="2">_xlfn.CONCAT(L4,"E")</f>
        <v>2025E</v>
      </c>
      <c r="M5" s="42" t="str">
        <f t="shared" si="2"/>
        <v>2026E</v>
      </c>
      <c r="N5" s="42" t="str">
        <f t="shared" si="2"/>
        <v>2027E</v>
      </c>
      <c r="O5" s="42" t="str">
        <f t="shared" si="2"/>
        <v>2028E</v>
      </c>
      <c r="P5" s="42" t="str">
        <f t="shared" si="2"/>
        <v>2029E</v>
      </c>
      <c r="Q5" s="42" t="str">
        <f t="shared" si="2"/>
        <v>2030E</v>
      </c>
      <c r="R5" s="42" t="str">
        <f t="shared" si="2"/>
        <v>2031E</v>
      </c>
      <c r="S5" s="42" t="str">
        <f t="shared" si="2"/>
        <v>2032E</v>
      </c>
    </row>
    <row r="6" spans="1:23" x14ac:dyDescent="0.25">
      <c r="B6" t="s">
        <v>8</v>
      </c>
      <c r="E6" s="7">
        <v>15033.199000000001</v>
      </c>
      <c r="F6" s="7">
        <v>20004.52</v>
      </c>
      <c r="G6" s="7">
        <v>24870.2</v>
      </c>
      <c r="H6" s="7">
        <v>24143.06</v>
      </c>
      <c r="I6" s="7">
        <v>30976.27</v>
      </c>
      <c r="J6">
        <f>Assumption!J12</f>
        <v>39824.626191656193</v>
      </c>
      <c r="K6">
        <f>J6*(1+0.28)</f>
        <v>50975.521525319928</v>
      </c>
      <c r="L6">
        <f>K6*(1+Assumption!L13)</f>
        <v>63878.700411416539</v>
      </c>
      <c r="M6">
        <f>L6*(1+Assumption!M13)</f>
        <v>78331.256379499537</v>
      </c>
      <c r="N6">
        <f>M6*(1+Assumption!N13)</f>
        <v>93948.550620162263</v>
      </c>
      <c r="O6">
        <f>N6*(1+Assumption!O13)</f>
        <v>110154.67560214027</v>
      </c>
      <c r="P6">
        <f>O6*(1+Assumption!P13)</f>
        <v>126195.95023670193</v>
      </c>
      <c r="Q6">
        <f>P6*(1+Assumption!Q13)</f>
        <v>141181.71932731027</v>
      </c>
      <c r="R6">
        <f>Q6*(1+Assumption!R13)</f>
        <v>154152.78979050688</v>
      </c>
      <c r="S6">
        <f>R6*(1+Assumption!S13)</f>
        <v>164172.72112688981</v>
      </c>
      <c r="U6" t="s">
        <v>103</v>
      </c>
    </row>
    <row r="7" spans="1:23" x14ac:dyDescent="0.25">
      <c r="B7" s="9" t="s">
        <v>9</v>
      </c>
      <c r="E7" s="7">
        <v>12756.906000000001</v>
      </c>
      <c r="F7" s="7">
        <v>17153.64</v>
      </c>
      <c r="G7" s="7">
        <v>21291.17</v>
      </c>
      <c r="H7" s="7">
        <v>20637.82</v>
      </c>
      <c r="I7" s="7">
        <v>26496.5</v>
      </c>
      <c r="J7">
        <f>J6*(0.86)</f>
        <v>34249.178524824325</v>
      </c>
      <c r="K7">
        <f>J7*(1+K8)</f>
        <v>40318.894052279298</v>
      </c>
      <c r="L7">
        <f t="shared" ref="L7:S7" si="3">K7*(1+L8)</f>
        <v>46949.112185320781</v>
      </c>
      <c r="M7">
        <f t="shared" si="3"/>
        <v>54069.727533427766</v>
      </c>
      <c r="N7">
        <f t="shared" si="3"/>
        <v>61579.411913070508</v>
      </c>
      <c r="O7">
        <f t="shared" si="3"/>
        <v>69345.259970996616</v>
      </c>
      <c r="P7">
        <f t="shared" si="3"/>
        <v>77204.389434376222</v>
      </c>
      <c r="Q7">
        <f t="shared" si="3"/>
        <v>84967.719705277384</v>
      </c>
      <c r="R7">
        <f t="shared" si="3"/>
        <v>92425.997323851727</v>
      </c>
      <c r="S7">
        <f t="shared" si="3"/>
        <v>99357.947123140606</v>
      </c>
      <c r="U7" t="s">
        <v>104</v>
      </c>
    </row>
    <row r="8" spans="1:23" x14ac:dyDescent="0.25">
      <c r="B8" s="9" t="s">
        <v>105</v>
      </c>
      <c r="E8" s="7"/>
      <c r="F8" s="7"/>
      <c r="G8" s="7"/>
      <c r="H8" s="7"/>
      <c r="I8" s="7"/>
      <c r="J8" s="5">
        <v>0.19</v>
      </c>
      <c r="K8" s="5">
        <f>J8-($J$8-$S$8)/9</f>
        <v>0.17722222222222223</v>
      </c>
      <c r="L8" s="5">
        <f t="shared" ref="L8:R8" si="4">K8-($J$8-$S$8)/9</f>
        <v>0.16444444444444445</v>
      </c>
      <c r="M8" s="5">
        <f t="shared" si="4"/>
        <v>0.15166666666666667</v>
      </c>
      <c r="N8" s="5">
        <f t="shared" si="4"/>
        <v>0.1388888888888889</v>
      </c>
      <c r="O8" s="5">
        <f t="shared" si="4"/>
        <v>0.12611111111111112</v>
      </c>
      <c r="P8" s="5">
        <f t="shared" si="4"/>
        <v>0.11333333333333334</v>
      </c>
      <c r="Q8" s="5">
        <f t="shared" si="4"/>
        <v>0.10055555555555556</v>
      </c>
      <c r="R8" s="5">
        <f t="shared" si="4"/>
        <v>8.7777777777777788E-2</v>
      </c>
      <c r="S8" s="5">
        <v>7.4999999999999997E-2</v>
      </c>
    </row>
    <row r="9" spans="1:23" x14ac:dyDescent="0.25">
      <c r="B9" s="10" t="s">
        <v>10</v>
      </c>
      <c r="E9" s="7">
        <f>E6-E7</f>
        <v>2276.2929999999997</v>
      </c>
      <c r="F9" s="7">
        <f t="shared" ref="F9:S9" si="5">F6-F7</f>
        <v>2850.880000000001</v>
      </c>
      <c r="G9" s="7">
        <f t="shared" si="5"/>
        <v>3579.0300000000025</v>
      </c>
      <c r="H9" s="7">
        <f t="shared" si="5"/>
        <v>3505.2400000000016</v>
      </c>
      <c r="I9" s="7">
        <f t="shared" si="5"/>
        <v>4479.7700000000004</v>
      </c>
      <c r="J9" s="7">
        <f t="shared" si="5"/>
        <v>5575.4476668318675</v>
      </c>
      <c r="K9" s="7">
        <f t="shared" si="5"/>
        <v>10656.627473040629</v>
      </c>
      <c r="L9" s="7">
        <f t="shared" si="5"/>
        <v>16929.588226095759</v>
      </c>
      <c r="M9" s="7">
        <f t="shared" si="5"/>
        <v>24261.528846071771</v>
      </c>
      <c r="N9" s="7">
        <f t="shared" si="5"/>
        <v>32369.138707091755</v>
      </c>
      <c r="O9" s="7">
        <f t="shared" si="5"/>
        <v>40809.415631143653</v>
      </c>
      <c r="P9" s="7">
        <f t="shared" si="5"/>
        <v>48991.560802325708</v>
      </c>
      <c r="Q9" s="7">
        <f t="shared" si="5"/>
        <v>56213.99962203289</v>
      </c>
      <c r="R9" s="7">
        <f t="shared" si="5"/>
        <v>61726.792466655155</v>
      </c>
      <c r="S9" s="7">
        <f t="shared" si="5"/>
        <v>64814.774003749204</v>
      </c>
    </row>
    <row r="10" spans="1:23" x14ac:dyDescent="0.25">
      <c r="B10" s="9"/>
    </row>
    <row r="11" spans="1:23" x14ac:dyDescent="0.25">
      <c r="B11" s="9" t="s">
        <v>11</v>
      </c>
      <c r="E11" s="7">
        <v>-364.74434978471527</v>
      </c>
      <c r="F11" s="7">
        <v>-403.86119783183096</v>
      </c>
      <c r="G11" s="7">
        <v>-447.17311511591845</v>
      </c>
      <c r="H11" s="7">
        <v>-495.13</v>
      </c>
      <c r="I11" s="7">
        <v>-548.23</v>
      </c>
      <c r="J11" s="7">
        <f>I11*(1+J12)</f>
        <v>-607.02468624401672</v>
      </c>
      <c r="K11" s="7">
        <f t="shared" ref="K11:S11" si="6">J11*(1+K12)</f>
        <v>-672.12478286421208</v>
      </c>
      <c r="L11" s="7">
        <f t="shared" si="6"/>
        <v>-744.20651083482517</v>
      </c>
      <c r="M11" s="7">
        <f t="shared" si="6"/>
        <v>-824.018612152316</v>
      </c>
      <c r="N11" s="7">
        <f t="shared" si="6"/>
        <v>-912.39012732063134</v>
      </c>
      <c r="O11" s="7">
        <f t="shared" si="6"/>
        <v>-1010.2390069294726</v>
      </c>
      <c r="P11" s="7">
        <f t="shared" si="6"/>
        <v>-1118.5816467775023</v>
      </c>
      <c r="Q11" s="7">
        <f t="shared" si="6"/>
        <v>-1238.5434455856646</v>
      </c>
      <c r="R11" s="7">
        <f t="shared" si="6"/>
        <v>-1371.3704949678447</v>
      </c>
      <c r="S11" s="7">
        <f t="shared" si="6"/>
        <v>-1518.4425230873135</v>
      </c>
      <c r="W11" s="4"/>
    </row>
    <row r="12" spans="1:23" x14ac:dyDescent="0.25">
      <c r="B12" s="9" t="s">
        <v>106</v>
      </c>
      <c r="F12" s="5">
        <f>F11/E11-1</f>
        <v>0.10724456203421329</v>
      </c>
      <c r="G12" s="5">
        <f t="shared" ref="G12:I12" si="7">G11/F11-1</f>
        <v>0.10724456203421329</v>
      </c>
      <c r="H12" s="5">
        <f t="shared" si="7"/>
        <v>0.10724456203421329</v>
      </c>
      <c r="I12" s="5">
        <f t="shared" si="7"/>
        <v>0.10724456203421329</v>
      </c>
      <c r="J12" s="5">
        <f>AVERAGE(I12,G12,F12)</f>
        <v>0.10724456203421329</v>
      </c>
      <c r="K12" s="5">
        <f>J12</f>
        <v>0.10724456203421329</v>
      </c>
      <c r="L12" s="5">
        <f t="shared" ref="L12:S12" si="8">K12</f>
        <v>0.10724456203421329</v>
      </c>
      <c r="M12" s="5">
        <f t="shared" si="8"/>
        <v>0.10724456203421329</v>
      </c>
      <c r="N12" s="5">
        <f t="shared" si="8"/>
        <v>0.10724456203421329</v>
      </c>
      <c r="O12" s="5">
        <f t="shared" si="8"/>
        <v>0.10724456203421329</v>
      </c>
      <c r="P12" s="5">
        <f t="shared" si="8"/>
        <v>0.10724456203421329</v>
      </c>
      <c r="Q12" s="5">
        <f t="shared" si="8"/>
        <v>0.10724456203421329</v>
      </c>
      <c r="R12" s="5">
        <f t="shared" si="8"/>
        <v>0.10724456203421329</v>
      </c>
      <c r="S12" s="5">
        <f t="shared" si="8"/>
        <v>0.10724456203421329</v>
      </c>
      <c r="W12" s="4"/>
    </row>
    <row r="13" spans="1:23" x14ac:dyDescent="0.25">
      <c r="B13" s="9" t="s">
        <v>12</v>
      </c>
      <c r="E13">
        <v>-1040.443342081174</v>
      </c>
      <c r="F13">
        <v>-1089.3019430899524</v>
      </c>
      <c r="G13">
        <v>-1140.4549149654422</v>
      </c>
      <c r="H13">
        <v>-1194.01</v>
      </c>
      <c r="I13">
        <v>-1250.08</v>
      </c>
      <c r="J13">
        <v>-1250.08</v>
      </c>
      <c r="K13">
        <v>-1250.08</v>
      </c>
      <c r="L13">
        <v>-1250.08</v>
      </c>
      <c r="M13">
        <v>-1250.08</v>
      </c>
      <c r="N13">
        <v>-1250.08</v>
      </c>
      <c r="O13">
        <v>-1250.08</v>
      </c>
      <c r="P13">
        <v>-1250.08</v>
      </c>
      <c r="Q13">
        <v>-1250.08</v>
      </c>
      <c r="R13">
        <v>-1250.08</v>
      </c>
      <c r="S13">
        <v>-1250.08</v>
      </c>
      <c r="U13" s="5" t="s">
        <v>107</v>
      </c>
    </row>
    <row r="14" spans="1:23" x14ac:dyDescent="0.25">
      <c r="B14" s="10" t="s">
        <v>13</v>
      </c>
      <c r="E14" s="7">
        <f>SUM(E9:E13)</f>
        <v>871.10530813411037</v>
      </c>
      <c r="F14" s="7">
        <f t="shared" ref="F14:S14" si="9">SUM(F9:F13)</f>
        <v>1357.8241036402521</v>
      </c>
      <c r="G14" s="7">
        <f t="shared" si="9"/>
        <v>1991.5092144806763</v>
      </c>
      <c r="H14" s="7">
        <f t="shared" si="9"/>
        <v>1816.2072445620358</v>
      </c>
      <c r="I14" s="7">
        <f t="shared" si="9"/>
        <v>2681.5672445620348</v>
      </c>
      <c r="J14" s="7">
        <f t="shared" si="9"/>
        <v>3718.4502251498852</v>
      </c>
      <c r="K14" s="7">
        <f t="shared" si="9"/>
        <v>8734.5299347384516</v>
      </c>
      <c r="L14" s="7">
        <f t="shared" si="9"/>
        <v>14935.408959822968</v>
      </c>
      <c r="M14" s="7">
        <f t="shared" si="9"/>
        <v>22187.537478481492</v>
      </c>
      <c r="N14" s="7">
        <f t="shared" si="9"/>
        <v>30206.775824333155</v>
      </c>
      <c r="O14" s="7">
        <f t="shared" si="9"/>
        <v>38549.203868776218</v>
      </c>
      <c r="P14" s="7">
        <f t="shared" si="9"/>
        <v>46623.006400110244</v>
      </c>
      <c r="Q14" s="7">
        <f t="shared" si="9"/>
        <v>53725.483421009259</v>
      </c>
      <c r="R14" s="7">
        <f t="shared" si="9"/>
        <v>59105.449216249348</v>
      </c>
      <c r="S14" s="7">
        <f t="shared" si="9"/>
        <v>62046.358725223923</v>
      </c>
      <c r="U14" t="s">
        <v>82</v>
      </c>
    </row>
    <row r="15" spans="1:23" x14ac:dyDescent="0.25">
      <c r="B15" s="9"/>
    </row>
    <row r="16" spans="1:23" x14ac:dyDescent="0.25">
      <c r="B16" s="9" t="s">
        <v>14</v>
      </c>
      <c r="E16" s="7">
        <f t="shared" ref="E16:F16" si="10">F16/(1+0.133)^4</f>
        <v>-82.991995050909253</v>
      </c>
      <c r="F16" s="7">
        <f t="shared" si="10"/>
        <v>-136.75897722885719</v>
      </c>
      <c r="G16" s="7">
        <f>H16/(1+0.133)^4</f>
        <v>-225.35929930603797</v>
      </c>
      <c r="H16" s="7">
        <v>-371.36</v>
      </c>
      <c r="I16" s="7">
        <v>-421.06</v>
      </c>
      <c r="J16" s="7">
        <f>I16*(1+$T$16)</f>
        <v>-639.73801058670688</v>
      </c>
      <c r="K16" s="7">
        <f t="shared" ref="K16:S16" si="11">J16*(1+$T$16)</f>
        <v>-971.98670543256901</v>
      </c>
      <c r="L16" s="7">
        <f t="shared" si="11"/>
        <v>-1476.7891541589304</v>
      </c>
      <c r="M16" s="7">
        <f t="shared" si="11"/>
        <v>-2243.7613535782543</v>
      </c>
      <c r="N16" s="7">
        <f t="shared" si="11"/>
        <v>-3409.0614747767281</v>
      </c>
      <c r="O16" s="7">
        <f t="shared" si="11"/>
        <v>-5179.5615965455027</v>
      </c>
      <c r="P16" s="7">
        <f t="shared" si="11"/>
        <v>-7869.5730572491502</v>
      </c>
      <c r="Q16" s="7">
        <f t="shared" si="11"/>
        <v>-11956.645161761555</v>
      </c>
      <c r="R16" s="7">
        <f t="shared" si="11"/>
        <v>-18166.343013053985</v>
      </c>
      <c r="S16" s="7">
        <f t="shared" si="11"/>
        <v>-27601.054811207145</v>
      </c>
      <c r="T16" s="2">
        <v>0.51935118649766521</v>
      </c>
      <c r="U16" s="4" t="s">
        <v>108</v>
      </c>
    </row>
    <row r="17" spans="1:21" x14ac:dyDescent="0.25">
      <c r="B17" s="10" t="s">
        <v>15</v>
      </c>
      <c r="E17" s="7">
        <f>E16+E14</f>
        <v>788.11331308320109</v>
      </c>
      <c r="F17" s="7">
        <f t="shared" ref="F17:S17" si="12">F16+F14</f>
        <v>1221.0651264113949</v>
      </c>
      <c r="G17" s="7">
        <f t="shared" si="12"/>
        <v>1766.1499151746384</v>
      </c>
      <c r="H17" s="7">
        <f t="shared" si="12"/>
        <v>1444.8472445620359</v>
      </c>
      <c r="I17" s="7">
        <f t="shared" si="12"/>
        <v>2260.5072445620349</v>
      </c>
      <c r="J17" s="7">
        <f t="shared" si="12"/>
        <v>3078.7122145631783</v>
      </c>
      <c r="K17" s="7">
        <f t="shared" si="12"/>
        <v>7762.543229305883</v>
      </c>
      <c r="L17" s="7">
        <f t="shared" si="12"/>
        <v>13458.619805664037</v>
      </c>
      <c r="M17" s="7">
        <f t="shared" si="12"/>
        <v>19943.776124903237</v>
      </c>
      <c r="N17" s="7">
        <f t="shared" si="12"/>
        <v>26797.714349556427</v>
      </c>
      <c r="O17" s="7">
        <f t="shared" si="12"/>
        <v>33369.642272230718</v>
      </c>
      <c r="P17" s="7">
        <f t="shared" si="12"/>
        <v>38753.433342861092</v>
      </c>
      <c r="Q17" s="7">
        <f t="shared" si="12"/>
        <v>41768.838259247706</v>
      </c>
      <c r="R17" s="7">
        <f t="shared" si="12"/>
        <v>40939.106203195362</v>
      </c>
      <c r="S17" s="7">
        <f t="shared" si="12"/>
        <v>34445.303914016782</v>
      </c>
    </row>
    <row r="18" spans="1:21" x14ac:dyDescent="0.25">
      <c r="B18" s="9"/>
    </row>
    <row r="19" spans="1:21" x14ac:dyDescent="0.25">
      <c r="B19" s="9" t="s">
        <v>16</v>
      </c>
      <c r="E19">
        <v>69</v>
      </c>
      <c r="F19">
        <v>48</v>
      </c>
      <c r="G19">
        <v>59</v>
      </c>
      <c r="H19">
        <v>208.9</v>
      </c>
      <c r="I19">
        <v>140.87</v>
      </c>
      <c r="J19" s="7">
        <f>AVERAGE(I19,G19,F19,E19)</f>
        <v>79.217500000000001</v>
      </c>
      <c r="K19" s="7">
        <f t="shared" ref="K19:S19" si="13">AVERAGE(J19,H19,G19,F19)</f>
        <v>98.779375000000002</v>
      </c>
      <c r="L19" s="7">
        <f t="shared" si="13"/>
        <v>126.88734375000001</v>
      </c>
      <c r="M19" s="7">
        <f t="shared" si="13"/>
        <v>138.96871093749999</v>
      </c>
      <c r="N19" s="7">
        <f t="shared" si="13"/>
        <v>114.458896484375</v>
      </c>
      <c r="O19" s="7">
        <f t="shared" si="13"/>
        <v>104.83577880859374</v>
      </c>
      <c r="P19" s="7">
        <f t="shared" si="13"/>
        <v>117.36780212402344</v>
      </c>
      <c r="Q19" s="7">
        <f t="shared" si="13"/>
        <v>124.42068832397462</v>
      </c>
      <c r="R19" s="7">
        <f t="shared" si="13"/>
        <v>120.67101863861083</v>
      </c>
      <c r="S19" s="7">
        <f t="shared" si="13"/>
        <v>114.33337401390077</v>
      </c>
    </row>
    <row r="20" spans="1:21" x14ac:dyDescent="0.25">
      <c r="B20" s="9" t="s">
        <v>17</v>
      </c>
      <c r="E20">
        <f>F20/$U$20</f>
        <v>22.760587651270367</v>
      </c>
      <c r="F20">
        <f>G20/$U$20</f>
        <v>26.140350086725832</v>
      </c>
      <c r="G20">
        <f>H20/$U$20</f>
        <v>30.021979797979789</v>
      </c>
      <c r="H20">
        <v>34.479999999999997</v>
      </c>
      <c r="I20">
        <v>39.6</v>
      </c>
      <c r="J20">
        <f>I20*$U$20</f>
        <v>45.480278422273791</v>
      </c>
      <c r="K20">
        <f t="shared" ref="K20:S20" si="14">J20*$U$20</f>
        <v>52.23373043857432</v>
      </c>
      <c r="L20">
        <f t="shared" si="14"/>
        <v>59.99001523687771</v>
      </c>
      <c r="M20">
        <f t="shared" si="14"/>
        <v>68.898045341657706</v>
      </c>
      <c r="N20">
        <f t="shared" si="14"/>
        <v>79.128845578005965</v>
      </c>
      <c r="O20">
        <f t="shared" si="14"/>
        <v>90.87883656870757</v>
      </c>
      <c r="P20">
        <f t="shared" si="14"/>
        <v>104.3736058039681</v>
      </c>
      <c r="Q20">
        <f t="shared" si="14"/>
        <v>119.87223868437174</v>
      </c>
      <c r="R20">
        <f t="shared" si="14"/>
        <v>137.6722926885476</v>
      </c>
      <c r="S20">
        <f t="shared" si="14"/>
        <v>158.11551016434123</v>
      </c>
      <c r="U20">
        <f>I20/H20</f>
        <v>1.1484918793503482</v>
      </c>
    </row>
    <row r="21" spans="1:21" x14ac:dyDescent="0.25">
      <c r="B21" s="10" t="s">
        <v>18</v>
      </c>
      <c r="E21" s="7">
        <f>E17+E19-E20</f>
        <v>834.35272543193071</v>
      </c>
      <c r="F21" s="7">
        <f t="shared" ref="F21:S21" si="15">F17+F19-F20</f>
        <v>1242.924776324669</v>
      </c>
      <c r="G21" s="7">
        <f t="shared" si="15"/>
        <v>1795.1279353766586</v>
      </c>
      <c r="H21" s="7">
        <f t="shared" si="15"/>
        <v>1619.267244562036</v>
      </c>
      <c r="I21" s="7">
        <f t="shared" si="15"/>
        <v>2361.7772445620349</v>
      </c>
      <c r="J21" s="7">
        <f t="shared" si="15"/>
        <v>3112.4494361409047</v>
      </c>
      <c r="K21" s="7">
        <f t="shared" si="15"/>
        <v>7809.0888738673084</v>
      </c>
      <c r="L21" s="7">
        <f t="shared" si="15"/>
        <v>13525.51713417716</v>
      </c>
      <c r="M21" s="7">
        <f t="shared" si="15"/>
        <v>20013.846790499079</v>
      </c>
      <c r="N21" s="7">
        <f t="shared" si="15"/>
        <v>26833.044400462797</v>
      </c>
      <c r="O21" s="7">
        <f t="shared" si="15"/>
        <v>33383.599214470603</v>
      </c>
      <c r="P21" s="7">
        <f t="shared" si="15"/>
        <v>38766.427539181153</v>
      </c>
      <c r="Q21" s="7">
        <f t="shared" si="15"/>
        <v>41773.386708887308</v>
      </c>
      <c r="R21" s="7">
        <f t="shared" si="15"/>
        <v>40922.104929145426</v>
      </c>
      <c r="S21" s="7">
        <f t="shared" si="15"/>
        <v>34401.521777866343</v>
      </c>
    </row>
    <row r="22" spans="1:21" x14ac:dyDescent="0.25">
      <c r="B22" s="9"/>
    </row>
    <row r="23" spans="1:21" x14ac:dyDescent="0.25">
      <c r="B23" s="9" t="s">
        <v>19</v>
      </c>
      <c r="E23" s="16"/>
      <c r="J23" s="16">
        <v>0.25</v>
      </c>
      <c r="K23" s="16">
        <v>0.25</v>
      </c>
      <c r="L23" s="16">
        <v>0.25</v>
      </c>
      <c r="M23" s="16">
        <v>0.25</v>
      </c>
      <c r="N23" s="16">
        <v>0.25</v>
      </c>
      <c r="O23" s="16">
        <v>0.25</v>
      </c>
      <c r="P23" s="16">
        <v>0.25</v>
      </c>
      <c r="Q23" s="16">
        <v>0.25</v>
      </c>
      <c r="R23" s="16">
        <v>0.25</v>
      </c>
      <c r="S23" s="16">
        <v>0.25</v>
      </c>
    </row>
    <row r="24" spans="1:21" x14ac:dyDescent="0.25">
      <c r="B24" s="9"/>
      <c r="E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21" x14ac:dyDescent="0.25">
      <c r="B25" s="9" t="s">
        <v>20</v>
      </c>
      <c r="E25">
        <v>411.23</v>
      </c>
      <c r="F25">
        <v>511.29</v>
      </c>
      <c r="G25">
        <v>433</v>
      </c>
      <c r="H25">
        <v>379</v>
      </c>
      <c r="I25">
        <v>564.48</v>
      </c>
      <c r="J25" s="7">
        <f>J23*J21</f>
        <v>778.11235903522618</v>
      </c>
      <c r="K25" s="7">
        <f t="shared" ref="K25:S25" si="16">K23*K21</f>
        <v>1952.2722184668271</v>
      </c>
      <c r="L25" s="7">
        <f t="shared" si="16"/>
        <v>3381.37928354429</v>
      </c>
      <c r="M25" s="7">
        <f t="shared" si="16"/>
        <v>5003.4616976247698</v>
      </c>
      <c r="N25" s="7">
        <f t="shared" si="16"/>
        <v>6708.2611001156993</v>
      </c>
      <c r="O25" s="7">
        <f t="shared" si="16"/>
        <v>8345.8998036176508</v>
      </c>
      <c r="P25" s="7">
        <f t="shared" si="16"/>
        <v>9691.6068847952884</v>
      </c>
      <c r="Q25" s="7">
        <f t="shared" si="16"/>
        <v>10443.346677221827</v>
      </c>
      <c r="R25" s="7">
        <f t="shared" si="16"/>
        <v>10230.526232286356</v>
      </c>
      <c r="S25" s="7">
        <f t="shared" si="16"/>
        <v>8600.3804444665857</v>
      </c>
    </row>
    <row r="26" spans="1:21" x14ac:dyDescent="0.25">
      <c r="B26" s="10" t="s">
        <v>21</v>
      </c>
      <c r="E26">
        <v>785</v>
      </c>
      <c r="F26">
        <v>936</v>
      </c>
      <c r="G26">
        <v>1350</v>
      </c>
      <c r="H26">
        <v>1165.31</v>
      </c>
      <c r="I26">
        <v>1616.17</v>
      </c>
      <c r="J26">
        <v>1410</v>
      </c>
      <c r="K26">
        <f>J26*(1+0.39)</f>
        <v>1959.9</v>
      </c>
      <c r="L26">
        <f t="shared" ref="L26:S26" si="17">K26*(1+0.39)</f>
        <v>2724.2610000000004</v>
      </c>
      <c r="M26">
        <f t="shared" si="17"/>
        <v>3786.7227900000007</v>
      </c>
      <c r="N26">
        <f t="shared" si="17"/>
        <v>5263.5446781000019</v>
      </c>
      <c r="O26">
        <f t="shared" si="17"/>
        <v>7316.3271025590029</v>
      </c>
      <c r="P26">
        <f t="shared" si="17"/>
        <v>10169.694672557014</v>
      </c>
      <c r="Q26">
        <f t="shared" si="17"/>
        <v>14135.875594854251</v>
      </c>
      <c r="R26">
        <f t="shared" si="17"/>
        <v>19648.867076847411</v>
      </c>
      <c r="S26">
        <f t="shared" si="17"/>
        <v>27311.925236817904</v>
      </c>
      <c r="U26" t="s">
        <v>83</v>
      </c>
    </row>
    <row r="27" spans="1:21" x14ac:dyDescent="0.25">
      <c r="B27" s="9" t="s">
        <v>22</v>
      </c>
    </row>
    <row r="28" spans="1:21" x14ac:dyDescent="0.25">
      <c r="B28" s="10" t="s">
        <v>23</v>
      </c>
      <c r="E28">
        <f>E26+E27</f>
        <v>785</v>
      </c>
      <c r="F28">
        <f t="shared" ref="F28:S28" si="18">F26+F27</f>
        <v>936</v>
      </c>
      <c r="G28">
        <f t="shared" si="18"/>
        <v>1350</v>
      </c>
      <c r="H28">
        <f t="shared" si="18"/>
        <v>1165.31</v>
      </c>
      <c r="I28">
        <f t="shared" si="18"/>
        <v>1616.17</v>
      </c>
      <c r="J28">
        <f t="shared" si="18"/>
        <v>1410</v>
      </c>
      <c r="K28">
        <f t="shared" si="18"/>
        <v>1959.9</v>
      </c>
      <c r="L28">
        <f t="shared" si="18"/>
        <v>2724.2610000000004</v>
      </c>
      <c r="M28">
        <f t="shared" si="18"/>
        <v>3786.7227900000007</v>
      </c>
      <c r="N28">
        <f t="shared" si="18"/>
        <v>5263.5446781000019</v>
      </c>
      <c r="O28">
        <f t="shared" si="18"/>
        <v>7316.3271025590029</v>
      </c>
      <c r="P28">
        <f t="shared" si="18"/>
        <v>10169.694672557014</v>
      </c>
      <c r="Q28">
        <f t="shared" si="18"/>
        <v>14135.875594854251</v>
      </c>
      <c r="R28">
        <f t="shared" si="18"/>
        <v>19648.867076847411</v>
      </c>
      <c r="S28">
        <f t="shared" si="18"/>
        <v>27311.925236817904</v>
      </c>
    </row>
    <row r="30" spans="1:21" x14ac:dyDescent="0.25">
      <c r="A30" s="46"/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AAAA-22E3-4AC7-817E-DAA96C7BE913}">
  <dimension ref="A1:AC56"/>
  <sheetViews>
    <sheetView showGridLines="0" workbookViewId="0">
      <pane ySplit="5" topLeftCell="A42" activePane="bottomLeft" state="frozen"/>
      <selection pane="bottomLeft" activeCell="D55" sqref="D55"/>
    </sheetView>
  </sheetViews>
  <sheetFormatPr defaultRowHeight="15" x14ac:dyDescent="0.25"/>
  <cols>
    <col min="2" max="2" width="37.5703125" bestFit="1" customWidth="1"/>
    <col min="5" max="7" width="0" hidden="1" customWidth="1"/>
    <col min="10" max="19" width="0" hidden="1" customWidth="1"/>
  </cols>
  <sheetData>
    <row r="1" spans="1:29" x14ac:dyDescent="0.25">
      <c r="A1" s="42" t="s">
        <v>0</v>
      </c>
      <c r="B1" s="42"/>
    </row>
    <row r="2" spans="1:29" x14ac:dyDescent="0.25">
      <c r="A2" s="42" t="s">
        <v>1</v>
      </c>
      <c r="B2" s="42"/>
    </row>
    <row r="4" spans="1:29" x14ac:dyDescent="0.25">
      <c r="A4" s="1" t="s">
        <v>2</v>
      </c>
      <c r="E4" s="2">
        <v>2018</v>
      </c>
      <c r="F4" s="2">
        <f>E4+1</f>
        <v>2019</v>
      </c>
      <c r="G4" s="2">
        <f t="shared" ref="G4:S4" si="0">F4+1</f>
        <v>2020</v>
      </c>
      <c r="H4" s="2">
        <f>G4+1</f>
        <v>2021</v>
      </c>
      <c r="I4" s="2">
        <f t="shared" si="0"/>
        <v>2022</v>
      </c>
      <c r="J4" s="2">
        <f t="shared" si="0"/>
        <v>2023</v>
      </c>
      <c r="K4" s="2">
        <f t="shared" si="0"/>
        <v>2024</v>
      </c>
      <c r="L4" s="2">
        <f t="shared" si="0"/>
        <v>2025</v>
      </c>
      <c r="M4" s="2">
        <f t="shared" si="0"/>
        <v>2026</v>
      </c>
      <c r="N4" s="2">
        <f t="shared" si="0"/>
        <v>2027</v>
      </c>
      <c r="O4" s="2">
        <f t="shared" si="0"/>
        <v>2028</v>
      </c>
      <c r="P4" s="2">
        <f t="shared" si="0"/>
        <v>2029</v>
      </c>
      <c r="Q4" s="2">
        <f t="shared" si="0"/>
        <v>2030</v>
      </c>
      <c r="R4" s="2">
        <f t="shared" si="0"/>
        <v>2031</v>
      </c>
      <c r="S4" s="2">
        <f t="shared" si="0"/>
        <v>2032</v>
      </c>
    </row>
    <row r="5" spans="1:29" x14ac:dyDescent="0.25">
      <c r="B5" s="42" t="s">
        <v>51</v>
      </c>
      <c r="C5" s="42"/>
      <c r="D5" s="42"/>
      <c r="E5" s="42" t="str">
        <f>_xlfn.CONCAT(E4,"A")</f>
        <v>2018A</v>
      </c>
      <c r="F5" s="42" t="str">
        <f t="shared" ref="F5:I5" si="1">_xlfn.CONCAT(F4,"A")</f>
        <v>2019A</v>
      </c>
      <c r="G5" s="42" t="str">
        <f t="shared" si="1"/>
        <v>2020A</v>
      </c>
      <c r="H5" s="42" t="str">
        <f t="shared" si="1"/>
        <v>2021A</v>
      </c>
      <c r="I5" s="42" t="str">
        <f t="shared" si="1"/>
        <v>2022A</v>
      </c>
      <c r="J5" s="42" t="str">
        <f>_xlfn.CONCAT(J4,"E")</f>
        <v>2023E</v>
      </c>
      <c r="K5" s="42" t="str">
        <f>_xlfn.CONCAT(K4,"E")</f>
        <v>2024E</v>
      </c>
      <c r="L5" s="42" t="str">
        <f t="shared" ref="L5:S5" si="2">_xlfn.CONCAT(L4,"E")</f>
        <v>2025E</v>
      </c>
      <c r="M5" s="42" t="str">
        <f t="shared" si="2"/>
        <v>2026E</v>
      </c>
      <c r="N5" s="42" t="str">
        <f t="shared" si="2"/>
        <v>2027E</v>
      </c>
      <c r="O5" s="42" t="str">
        <f t="shared" si="2"/>
        <v>2028E</v>
      </c>
      <c r="P5" s="42" t="str">
        <f t="shared" si="2"/>
        <v>2029E</v>
      </c>
      <c r="Q5" s="42" t="str">
        <f t="shared" si="2"/>
        <v>2030E</v>
      </c>
      <c r="R5" s="42" t="str">
        <f t="shared" si="2"/>
        <v>2031E</v>
      </c>
      <c r="S5" s="42" t="str">
        <f t="shared" si="2"/>
        <v>2032E</v>
      </c>
      <c r="T5" s="42" t="s">
        <v>129</v>
      </c>
      <c r="U5" s="42" t="s">
        <v>130</v>
      </c>
      <c r="V5" s="42" t="s">
        <v>131</v>
      </c>
      <c r="W5" s="42" t="s">
        <v>132</v>
      </c>
      <c r="X5" s="42" t="s">
        <v>133</v>
      </c>
      <c r="Y5" s="42" t="s">
        <v>134</v>
      </c>
      <c r="Z5" s="42" t="s">
        <v>135</v>
      </c>
      <c r="AA5" s="42" t="s">
        <v>136</v>
      </c>
      <c r="AB5" s="42" t="s">
        <v>137</v>
      </c>
      <c r="AC5" s="42" t="s">
        <v>138</v>
      </c>
    </row>
    <row r="6" spans="1:29" x14ac:dyDescent="0.25">
      <c r="B6" s="11" t="s">
        <v>24</v>
      </c>
    </row>
    <row r="7" spans="1:29" x14ac:dyDescent="0.25">
      <c r="B7" s="11" t="s">
        <v>25</v>
      </c>
    </row>
    <row r="8" spans="1:29" x14ac:dyDescent="0.25">
      <c r="B8" s="12" t="s">
        <v>26</v>
      </c>
      <c r="H8">
        <v>5938.5</v>
      </c>
      <c r="I8">
        <v>7770.46</v>
      </c>
    </row>
    <row r="9" spans="1:29" x14ac:dyDescent="0.25">
      <c r="B9" s="12" t="s">
        <v>88</v>
      </c>
      <c r="H9">
        <v>1019.59</v>
      </c>
      <c r="I9">
        <v>1129.3399999999999</v>
      </c>
    </row>
    <row r="10" spans="1:29" x14ac:dyDescent="0.25">
      <c r="B10" s="12" t="s">
        <v>89</v>
      </c>
      <c r="H10">
        <v>960.24</v>
      </c>
      <c r="I10">
        <v>1388.65</v>
      </c>
    </row>
    <row r="11" spans="1:29" x14ac:dyDescent="0.25">
      <c r="B11" s="12" t="s">
        <v>90</v>
      </c>
      <c r="H11">
        <v>9.57</v>
      </c>
      <c r="I11">
        <v>9.0299999999999994</v>
      </c>
    </row>
    <row r="12" spans="1:29" x14ac:dyDescent="0.25">
      <c r="B12" s="12" t="s">
        <v>91</v>
      </c>
      <c r="H12">
        <v>78.27</v>
      </c>
      <c r="I12">
        <v>78.27</v>
      </c>
    </row>
    <row r="13" spans="1:29" x14ac:dyDescent="0.25">
      <c r="B13" s="12" t="s">
        <v>27</v>
      </c>
      <c r="H13">
        <v>22.22</v>
      </c>
      <c r="I13">
        <v>13.61</v>
      </c>
    </row>
    <row r="14" spans="1:29" x14ac:dyDescent="0.25">
      <c r="B14" s="12" t="s">
        <v>84</v>
      </c>
    </row>
    <row r="15" spans="1:29" x14ac:dyDescent="0.25">
      <c r="B15" s="12" t="s">
        <v>86</v>
      </c>
      <c r="H15" t="s">
        <v>87</v>
      </c>
      <c r="I15">
        <v>0.01</v>
      </c>
    </row>
    <row r="16" spans="1:29" x14ac:dyDescent="0.25">
      <c r="B16" s="12" t="s">
        <v>85</v>
      </c>
      <c r="H16">
        <v>1109.28</v>
      </c>
      <c r="I16">
        <v>1262.7</v>
      </c>
    </row>
    <row r="17" spans="2:29" x14ac:dyDescent="0.25">
      <c r="B17" s="12" t="s">
        <v>28</v>
      </c>
      <c r="H17">
        <v>0.92</v>
      </c>
      <c r="I17">
        <v>1.66</v>
      </c>
    </row>
    <row r="18" spans="2:29" x14ac:dyDescent="0.25">
      <c r="B18" s="12" t="s">
        <v>92</v>
      </c>
      <c r="H18">
        <v>1.63</v>
      </c>
      <c r="I18">
        <v>2.2799999999999998</v>
      </c>
    </row>
    <row r="19" spans="2:29" x14ac:dyDescent="0.25">
      <c r="B19" s="12" t="s">
        <v>29</v>
      </c>
      <c r="H19">
        <v>454.62</v>
      </c>
      <c r="I19">
        <v>373.78</v>
      </c>
    </row>
    <row r="20" spans="2:29" x14ac:dyDescent="0.25">
      <c r="B20" s="11" t="s">
        <v>30</v>
      </c>
      <c r="H20">
        <f>SUM(H8:H19)</f>
        <v>9594.84</v>
      </c>
      <c r="I20">
        <f>SUM(I8:I19)</f>
        <v>12029.790000000003</v>
      </c>
    </row>
    <row r="21" spans="2:29" x14ac:dyDescent="0.25">
      <c r="B21" s="12"/>
    </row>
    <row r="22" spans="2:29" x14ac:dyDescent="0.25">
      <c r="B22" s="11" t="s">
        <v>31</v>
      </c>
    </row>
    <row r="23" spans="2:29" x14ac:dyDescent="0.25">
      <c r="B23" s="12" t="s">
        <v>32</v>
      </c>
      <c r="E23">
        <f>Assumption!E54*Assumption!E16/365</f>
        <v>1048.5128219178084</v>
      </c>
      <c r="F23">
        <f>Assumption!F54*Assumption!F16/365</f>
        <v>1376.9908273972603</v>
      </c>
      <c r="G23">
        <f>Assumption!G54*Assumption!G16/365</f>
        <v>1773.2919671232876</v>
      </c>
      <c r="H23">
        <v>2248.2800000000002</v>
      </c>
      <c r="I23">
        <v>2742.66</v>
      </c>
      <c r="T23">
        <f>Assumption!I54*Assumption!J16/365</f>
        <v>3124.651081853835</v>
      </c>
      <c r="U23">
        <f>Assumption!J54*Assumption!K16/365</f>
        <v>3523.7608774457794</v>
      </c>
      <c r="V23">
        <f>Assumption!K54*Assumption!L16/365</f>
        <v>4103.2237772924191</v>
      </c>
      <c r="W23">
        <f>Assumption!L54*Assumption!M16/365</f>
        <v>4725.5460501817688</v>
      </c>
      <c r="X23">
        <f>Assumption!M54*Assumption!N16/365</f>
        <v>5381.8718904847919</v>
      </c>
      <c r="Y23">
        <f>Assumption!N54*Assumption!O16/365</f>
        <v>6060.5857344514843</v>
      </c>
      <c r="Z23">
        <f>Assumption!O54*Assumption!P16/365</f>
        <v>6747.4521176893186</v>
      </c>
      <c r="AA23">
        <f>Assumption!P54*Assumption!Q16/365</f>
        <v>7425.9459139680785</v>
      </c>
      <c r="AB23">
        <f>Assumption!Q54*Assumption!R16/365</f>
        <v>8077.7789441941641</v>
      </c>
      <c r="AC23">
        <f>Assumption!R54*Assumption!S16/365</f>
        <v>8683.6123650087266</v>
      </c>
    </row>
    <row r="24" spans="2:29" x14ac:dyDescent="0.25">
      <c r="B24" s="12" t="s">
        <v>33</v>
      </c>
      <c r="H24">
        <v>2.95</v>
      </c>
      <c r="I24">
        <v>5.93</v>
      </c>
    </row>
    <row r="25" spans="2:29" x14ac:dyDescent="0.25">
      <c r="B25" s="12" t="s">
        <v>34</v>
      </c>
      <c r="E25">
        <f>Assumption!E53*Assumption!E12/365</f>
        <v>41.186846575342464</v>
      </c>
      <c r="F25">
        <f>Assumption!F53*Assumption!F12/365</f>
        <v>54.806904109589041</v>
      </c>
      <c r="G25">
        <f>Assumption!G53*Assumption!G12/365</f>
        <v>0</v>
      </c>
      <c r="H25">
        <v>43.58</v>
      </c>
      <c r="I25">
        <v>66.89</v>
      </c>
      <c r="T25">
        <f>Assumption!J53*Assumption!J12/365</f>
        <v>87.286851926917677</v>
      </c>
      <c r="U25">
        <f>Assumption!K53*Assumption!K12/365</f>
        <v>111.72717046645464</v>
      </c>
      <c r="V25">
        <f>Assumption!L53*Assumption!L12/365</f>
        <v>140.00811049077598</v>
      </c>
      <c r="W25">
        <f>Assumption!M53*Assumption!M12/365</f>
        <v>171.68494548931406</v>
      </c>
      <c r="X25">
        <f>Assumption!N53*Assumption!N12/365</f>
        <v>205.91463149624605</v>
      </c>
      <c r="Y25">
        <f>Assumption!O53*Assumption!O12/365</f>
        <v>241.43490542934853</v>
      </c>
      <c r="Z25">
        <f>Assumption!P53*Assumption!P12/365</f>
        <v>276.59386353249738</v>
      </c>
      <c r="AA25">
        <f>Assumption!Q53*Assumption!Q12/365</f>
        <v>309.43938482698144</v>
      </c>
      <c r="AB25">
        <f>Assumption!R53*Assumption!R12/365</f>
        <v>337.8691283079603</v>
      </c>
      <c r="AC25">
        <f>Assumption!S53*Assumption!S12/365</f>
        <v>359.83062164797769</v>
      </c>
    </row>
    <row r="26" spans="2:29" x14ac:dyDescent="0.25">
      <c r="B26" s="12" t="s">
        <v>35</v>
      </c>
      <c r="H26">
        <v>1445.58</v>
      </c>
      <c r="I26">
        <v>298.58000000000004</v>
      </c>
    </row>
    <row r="27" spans="2:29" x14ac:dyDescent="0.25">
      <c r="B27" s="12" t="s">
        <v>36</v>
      </c>
      <c r="H27">
        <v>167.91</v>
      </c>
      <c r="I27">
        <v>127.46</v>
      </c>
    </row>
    <row r="28" spans="2:29" x14ac:dyDescent="0.25">
      <c r="B28" s="12" t="s">
        <v>37</v>
      </c>
      <c r="H28">
        <v>152.83000000000001</v>
      </c>
      <c r="I28">
        <v>201.33</v>
      </c>
    </row>
    <row r="29" spans="2:29" x14ac:dyDescent="0.25">
      <c r="B29" s="11" t="s">
        <v>38</v>
      </c>
      <c r="H29">
        <f>SUM(H23:H28)</f>
        <v>4061.1299999999997</v>
      </c>
      <c r="I29">
        <f>SUM(I23:I28)</f>
        <v>3442.8499999999995</v>
      </c>
    </row>
    <row r="30" spans="2:29" x14ac:dyDescent="0.25">
      <c r="B30" s="12"/>
    </row>
    <row r="31" spans="2:29" x14ac:dyDescent="0.25">
      <c r="B31" s="13" t="s">
        <v>39</v>
      </c>
      <c r="C31" s="47"/>
      <c r="D31" s="47"/>
      <c r="E31" s="47"/>
      <c r="F31" s="47"/>
      <c r="G31" s="47"/>
      <c r="H31" s="47">
        <f>SUM(H29,H20)</f>
        <v>13655.97</v>
      </c>
      <c r="I31" s="47">
        <f>SUM(I29,I20)</f>
        <v>15472.640000000003</v>
      </c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8"/>
    </row>
    <row r="32" spans="2:29" x14ac:dyDescent="0.25">
      <c r="B32" s="12"/>
    </row>
    <row r="33" spans="2:9" x14ac:dyDescent="0.25">
      <c r="B33" s="11" t="s">
        <v>40</v>
      </c>
    </row>
    <row r="34" spans="2:9" x14ac:dyDescent="0.25">
      <c r="B34" s="12" t="s">
        <v>41</v>
      </c>
      <c r="H34">
        <v>647.77</v>
      </c>
      <c r="I34">
        <v>647.77</v>
      </c>
    </row>
    <row r="35" spans="2:9" x14ac:dyDescent="0.25">
      <c r="B35" s="12" t="s">
        <v>42</v>
      </c>
      <c r="H35">
        <v>11535.94</v>
      </c>
      <c r="I35">
        <v>13029.87</v>
      </c>
    </row>
    <row r="36" spans="2:9" x14ac:dyDescent="0.25">
      <c r="B36" s="11" t="s">
        <v>43</v>
      </c>
      <c r="H36">
        <f>SUM(H34:H35)+0.4</f>
        <v>12184.11</v>
      </c>
      <c r="I36">
        <f>SUM(I34:I35)+0.25</f>
        <v>13677.890000000001</v>
      </c>
    </row>
    <row r="37" spans="2:9" x14ac:dyDescent="0.25">
      <c r="B37" s="12"/>
    </row>
    <row r="38" spans="2:9" x14ac:dyDescent="0.25">
      <c r="B38" s="11" t="s">
        <v>44</v>
      </c>
    </row>
    <row r="39" spans="2:9" x14ac:dyDescent="0.25">
      <c r="B39" s="12" t="s">
        <v>93</v>
      </c>
    </row>
    <row r="40" spans="2:9" x14ac:dyDescent="0.25">
      <c r="B40" s="12" t="s">
        <v>94</v>
      </c>
      <c r="H40">
        <v>312.01</v>
      </c>
      <c r="I40">
        <v>507.15</v>
      </c>
    </row>
    <row r="41" spans="2:9" x14ac:dyDescent="0.25">
      <c r="B41" s="12" t="s">
        <v>95</v>
      </c>
      <c r="H41">
        <v>0.44</v>
      </c>
      <c r="I41">
        <v>0.41</v>
      </c>
    </row>
    <row r="42" spans="2:9" x14ac:dyDescent="0.25">
      <c r="B42" s="12" t="s">
        <v>45</v>
      </c>
      <c r="H42">
        <v>2.4500000000000002</v>
      </c>
      <c r="I42">
        <v>4.87</v>
      </c>
    </row>
    <row r="43" spans="2:9" x14ac:dyDescent="0.25">
      <c r="B43" s="12" t="s">
        <v>96</v>
      </c>
      <c r="H43">
        <v>51.19</v>
      </c>
      <c r="I43">
        <v>64.03</v>
      </c>
    </row>
    <row r="44" spans="2:9" x14ac:dyDescent="0.25">
      <c r="B44" s="11" t="s">
        <v>44</v>
      </c>
      <c r="H44">
        <f>SUM(H40:H43)</f>
        <v>366.09</v>
      </c>
      <c r="I44">
        <f>SUM(I40:I43)</f>
        <v>576.45999999999992</v>
      </c>
    </row>
    <row r="45" spans="2:9" x14ac:dyDescent="0.25">
      <c r="B45" s="12"/>
    </row>
    <row r="46" spans="2:9" x14ac:dyDescent="0.25">
      <c r="B46" s="11" t="s">
        <v>46</v>
      </c>
    </row>
    <row r="47" spans="2:9" x14ac:dyDescent="0.25">
      <c r="B47" s="12" t="s">
        <v>97</v>
      </c>
    </row>
    <row r="48" spans="2:9" x14ac:dyDescent="0.25">
      <c r="B48" s="11" t="s">
        <v>98</v>
      </c>
      <c r="H48">
        <v>80.7</v>
      </c>
      <c r="I48">
        <v>139.79</v>
      </c>
    </row>
    <row r="49" spans="2:29" x14ac:dyDescent="0.25">
      <c r="B49" s="12" t="s">
        <v>99</v>
      </c>
      <c r="E49">
        <f>Assumption!E55*Assumption!E16/365</f>
        <v>314.5538465753425</v>
      </c>
      <c r="F49">
        <f>Assumption!F55*Assumption!F16/365</f>
        <v>390.06907397260272</v>
      </c>
      <c r="G49">
        <f>Assumption!G55*Assumption!G16/365</f>
        <v>460.8225835616438</v>
      </c>
      <c r="H49">
        <v>578.13</v>
      </c>
      <c r="I49">
        <v>589.20000000000005</v>
      </c>
      <c r="T49">
        <f>Assumption!J55*Assumption!J16/365</f>
        <v>788.20027290006692</v>
      </c>
      <c r="U49">
        <f>Assumption!K55*Assumption!K16/365</f>
        <v>927.88687681957856</v>
      </c>
      <c r="V49">
        <f>Assumption!L55*Assumption!L16/365</f>
        <v>1080.4727187854648</v>
      </c>
      <c r="W49">
        <f>Assumption!M55*Assumption!M16/365</f>
        <v>1244.344414467927</v>
      </c>
      <c r="X49">
        <f>Assumption!N55*Assumption!N16/365</f>
        <v>1417.1700275884723</v>
      </c>
      <c r="Y49">
        <f>Assumption!O55*Assumption!O16/365</f>
        <v>1595.8909144010183</v>
      </c>
      <c r="Z49">
        <f>Assumption!P55*Assumption!P16/365</f>
        <v>1776.7585513664667</v>
      </c>
      <c r="AA49">
        <f>Assumption!Q55*Assumption!Q16/365</f>
        <v>1955.4214945872059</v>
      </c>
      <c r="AB49">
        <f>Assumption!R55*Assumption!R16/365</f>
        <v>2127.064048000972</v>
      </c>
      <c r="AC49">
        <f>Assumption!S55*Assumption!S16/365</f>
        <v>2286.5938516010447</v>
      </c>
    </row>
    <row r="50" spans="2:29" x14ac:dyDescent="0.25">
      <c r="B50" s="12" t="s">
        <v>100</v>
      </c>
      <c r="H50">
        <v>269.77999999999997</v>
      </c>
      <c r="I50">
        <v>282.92</v>
      </c>
    </row>
    <row r="51" spans="2:29" x14ac:dyDescent="0.25">
      <c r="B51" s="12" t="s">
        <v>101</v>
      </c>
      <c r="H51">
        <v>112.66</v>
      </c>
      <c r="I51">
        <v>111.57</v>
      </c>
    </row>
    <row r="52" spans="2:29" x14ac:dyDescent="0.25">
      <c r="B52" s="12" t="s">
        <v>48</v>
      </c>
      <c r="H52">
        <v>40.729999999999997</v>
      </c>
      <c r="I52">
        <v>58.37</v>
      </c>
    </row>
    <row r="53" spans="2:29" x14ac:dyDescent="0.25">
      <c r="B53" s="12" t="s">
        <v>47</v>
      </c>
      <c r="H53">
        <v>23.77</v>
      </c>
      <c r="I53">
        <v>36.44</v>
      </c>
    </row>
    <row r="54" spans="2:29" x14ac:dyDescent="0.25">
      <c r="B54" s="11" t="s">
        <v>49</v>
      </c>
      <c r="H54">
        <f>SUM(H48:H53)</f>
        <v>1105.77</v>
      </c>
      <c r="I54">
        <f>SUM(I48:I53)</f>
        <v>1218.29</v>
      </c>
    </row>
    <row r="55" spans="2:29" x14ac:dyDescent="0.25">
      <c r="B55" s="12"/>
    </row>
    <row r="56" spans="2:29" x14ac:dyDescent="0.25">
      <c r="B56" s="13" t="s">
        <v>50</v>
      </c>
      <c r="C56" s="47"/>
      <c r="D56" s="47"/>
      <c r="E56" s="47"/>
      <c r="F56" s="47"/>
      <c r="G56" s="47"/>
      <c r="H56" s="47">
        <f>H54+H44+H36</f>
        <v>13655.970000000001</v>
      </c>
      <c r="I56" s="47">
        <f>I54+I44+I36</f>
        <v>15472.640000000001</v>
      </c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39183-E4FE-49F3-83A1-0A37A35D3C9D}">
  <dimension ref="A1:S26"/>
  <sheetViews>
    <sheetView showGridLines="0" workbookViewId="0">
      <pane ySplit="5" topLeftCell="A6" activePane="bottomLeft" state="frozen"/>
      <selection pane="bottomLeft" activeCell="B26" sqref="B26:C26"/>
    </sheetView>
  </sheetViews>
  <sheetFormatPr defaultRowHeight="15" x14ac:dyDescent="0.25"/>
  <cols>
    <col min="2" max="2" width="37.5703125" bestFit="1" customWidth="1"/>
    <col min="3" max="3" width="11.140625" bestFit="1" customWidth="1"/>
    <col min="5" max="7" width="12" bestFit="1" customWidth="1"/>
    <col min="9" max="9" width="9" bestFit="1" customWidth="1"/>
    <col min="10" max="19" width="6" bestFit="1" customWidth="1"/>
  </cols>
  <sheetData>
    <row r="1" spans="1:19" x14ac:dyDescent="0.25">
      <c r="A1" s="42" t="s">
        <v>0</v>
      </c>
      <c r="B1" s="42"/>
    </row>
    <row r="2" spans="1:19" x14ac:dyDescent="0.25">
      <c r="A2" s="42" t="s">
        <v>109</v>
      </c>
      <c r="B2" s="42"/>
    </row>
    <row r="4" spans="1:19" x14ac:dyDescent="0.25">
      <c r="A4" s="1" t="s">
        <v>2</v>
      </c>
      <c r="E4" s="2">
        <v>2018</v>
      </c>
      <c r="F4" s="2">
        <f>E4+1</f>
        <v>2019</v>
      </c>
      <c r="G4" s="2">
        <f t="shared" ref="G4:S4" si="0">F4+1</f>
        <v>2020</v>
      </c>
      <c r="H4" s="2">
        <f>G4+1</f>
        <v>2021</v>
      </c>
      <c r="I4" s="2">
        <f t="shared" si="0"/>
        <v>2022</v>
      </c>
      <c r="J4" s="2">
        <f t="shared" si="0"/>
        <v>2023</v>
      </c>
      <c r="K4" s="2">
        <f t="shared" si="0"/>
        <v>2024</v>
      </c>
      <c r="L4" s="2">
        <f t="shared" si="0"/>
        <v>2025</v>
      </c>
      <c r="M4" s="2">
        <f t="shared" si="0"/>
        <v>2026</v>
      </c>
      <c r="N4" s="2">
        <f t="shared" si="0"/>
        <v>2027</v>
      </c>
      <c r="O4" s="2">
        <f t="shared" si="0"/>
        <v>2028</v>
      </c>
      <c r="P4" s="2">
        <f t="shared" si="0"/>
        <v>2029</v>
      </c>
      <c r="Q4" s="2">
        <f t="shared" si="0"/>
        <v>2030</v>
      </c>
      <c r="R4" s="2">
        <f t="shared" si="0"/>
        <v>2031</v>
      </c>
      <c r="S4" s="2">
        <f t="shared" si="0"/>
        <v>2032</v>
      </c>
    </row>
    <row r="5" spans="1:19" x14ac:dyDescent="0.25">
      <c r="B5" s="42" t="s">
        <v>0</v>
      </c>
      <c r="C5" s="41"/>
    </row>
    <row r="6" spans="1:19" x14ac:dyDescent="0.25">
      <c r="B6" t="s">
        <v>40</v>
      </c>
      <c r="C6">
        <f>BS!I35</f>
        <v>13029.87</v>
      </c>
    </row>
    <row r="7" spans="1:19" x14ac:dyDescent="0.25">
      <c r="B7" t="s">
        <v>110</v>
      </c>
      <c r="C7">
        <f>BS!I40+BS!I41</f>
        <v>507.56</v>
      </c>
    </row>
    <row r="8" spans="1:19" x14ac:dyDescent="0.25">
      <c r="B8" t="s">
        <v>111</v>
      </c>
      <c r="C8">
        <f>C7/C6</f>
        <v>3.8953573596666735E-2</v>
      </c>
    </row>
    <row r="9" spans="1:19" x14ac:dyDescent="0.25">
      <c r="B9" s="14" t="s">
        <v>112</v>
      </c>
      <c r="C9">
        <v>0.83</v>
      </c>
    </row>
    <row r="11" spans="1:19" x14ac:dyDescent="0.25">
      <c r="B11" s="42" t="s">
        <v>113</v>
      </c>
      <c r="C11" s="42"/>
    </row>
    <row r="12" spans="1:19" x14ac:dyDescent="0.25">
      <c r="B12" t="s">
        <v>114</v>
      </c>
      <c r="C12" s="17">
        <v>7.2900000000000006E-2</v>
      </c>
    </row>
    <row r="13" spans="1:19" x14ac:dyDescent="0.25">
      <c r="B13" s="18" t="s">
        <v>115</v>
      </c>
      <c r="C13" s="17">
        <v>6.4199999999999993E-2</v>
      </c>
    </row>
    <row r="14" spans="1:19" x14ac:dyDescent="0.25">
      <c r="B14" s="18" t="s">
        <v>112</v>
      </c>
      <c r="C14">
        <f>C9</f>
        <v>0.83</v>
      </c>
    </row>
    <row r="15" spans="1:19" x14ac:dyDescent="0.25">
      <c r="B15" s="18" t="s">
        <v>116</v>
      </c>
      <c r="C15" s="19">
        <f>C12+C14*C13</f>
        <v>0.12618599999999999</v>
      </c>
    </row>
    <row r="17" spans="2:4" x14ac:dyDescent="0.25">
      <c r="B17" s="42" t="s">
        <v>117</v>
      </c>
      <c r="C17" s="41"/>
    </row>
    <row r="18" spans="2:4" x14ac:dyDescent="0.25">
      <c r="B18" t="s">
        <v>118</v>
      </c>
      <c r="C18" s="17">
        <v>0.104</v>
      </c>
      <c r="D18" t="s">
        <v>119</v>
      </c>
    </row>
    <row r="19" spans="2:4" x14ac:dyDescent="0.25">
      <c r="B19" t="s">
        <v>120</v>
      </c>
      <c r="C19" s="16">
        <f>IS!J23</f>
        <v>0.25</v>
      </c>
    </row>
    <row r="20" spans="2:4" x14ac:dyDescent="0.25">
      <c r="B20" t="s">
        <v>121</v>
      </c>
      <c r="C20" s="20">
        <f>C18*(1-C19)</f>
        <v>7.8E-2</v>
      </c>
    </row>
    <row r="22" spans="2:4" x14ac:dyDescent="0.25">
      <c r="B22" s="42" t="s">
        <v>109</v>
      </c>
      <c r="C22" s="41"/>
    </row>
    <row r="23" spans="2:4" x14ac:dyDescent="0.25">
      <c r="B23" t="s">
        <v>122</v>
      </c>
      <c r="C23">
        <f>C6</f>
        <v>13029.87</v>
      </c>
      <c r="D23">
        <f>C23/($C$23+$C$24)</f>
        <v>0.96250691600990734</v>
      </c>
    </row>
    <row r="24" spans="2:4" x14ac:dyDescent="0.25">
      <c r="B24" t="s">
        <v>123</v>
      </c>
      <c r="C24">
        <f>C7</f>
        <v>507.56</v>
      </c>
      <c r="D24">
        <f>C24/($C$23+$C$24)</f>
        <v>3.749308399009265E-2</v>
      </c>
    </row>
    <row r="26" spans="2:4" x14ac:dyDescent="0.25">
      <c r="B26" s="42" t="s">
        <v>124</v>
      </c>
      <c r="C26" s="49">
        <f>D23*C15+D24*C20</f>
        <v>0.12437935825485338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25CF-CCBF-4152-8040-094F5E9695FC}">
  <dimension ref="A1:S26"/>
  <sheetViews>
    <sheetView showGridLines="0" workbookViewId="0">
      <pane ySplit="5" topLeftCell="A6" activePane="bottomLeft" state="frozen"/>
      <selection pane="bottomLeft" activeCell="D28" sqref="D28"/>
    </sheetView>
  </sheetViews>
  <sheetFormatPr defaultRowHeight="15" x14ac:dyDescent="0.25"/>
  <cols>
    <col min="2" max="2" width="37.5703125" bestFit="1" customWidth="1"/>
    <col min="3" max="3" width="11.140625" bestFit="1" customWidth="1"/>
    <col min="5" max="7" width="12" hidden="1" customWidth="1"/>
    <col min="8" max="8" width="0" hidden="1" customWidth="1"/>
    <col min="9" max="9" width="9" hidden="1" customWidth="1"/>
    <col min="10" max="10" width="7.140625" bestFit="1" customWidth="1"/>
    <col min="11" max="17" width="6" bestFit="1" customWidth="1"/>
    <col min="18" max="18" width="8.28515625" customWidth="1"/>
    <col min="19" max="19" width="8.140625" customWidth="1"/>
  </cols>
  <sheetData>
    <row r="1" spans="1:19" x14ac:dyDescent="0.25">
      <c r="A1" s="42" t="s">
        <v>0</v>
      </c>
      <c r="B1" s="42"/>
    </row>
    <row r="2" spans="1:19" x14ac:dyDescent="0.25">
      <c r="A2" s="42" t="s">
        <v>125</v>
      </c>
      <c r="B2" s="42"/>
    </row>
    <row r="4" spans="1:19" x14ac:dyDescent="0.25">
      <c r="A4" s="1" t="s">
        <v>2</v>
      </c>
      <c r="E4" s="2">
        <v>2018</v>
      </c>
      <c r="F4" s="2">
        <f>E4+1</f>
        <v>2019</v>
      </c>
      <c r="G4" s="2">
        <f t="shared" ref="G4:S4" si="0">F4+1</f>
        <v>2020</v>
      </c>
      <c r="H4" s="2">
        <f>G4+1</f>
        <v>2021</v>
      </c>
      <c r="I4" s="2">
        <f t="shared" si="0"/>
        <v>2022</v>
      </c>
      <c r="J4" s="2">
        <f t="shared" si="0"/>
        <v>2023</v>
      </c>
      <c r="K4" s="2">
        <f t="shared" si="0"/>
        <v>2024</v>
      </c>
      <c r="L4" s="2">
        <f t="shared" si="0"/>
        <v>2025</v>
      </c>
      <c r="M4" s="2">
        <f t="shared" si="0"/>
        <v>2026</v>
      </c>
      <c r="N4" s="2">
        <f t="shared" si="0"/>
        <v>2027</v>
      </c>
      <c r="O4" s="2">
        <f t="shared" si="0"/>
        <v>2028</v>
      </c>
      <c r="P4" s="2">
        <f t="shared" si="0"/>
        <v>2029</v>
      </c>
      <c r="Q4" s="2">
        <f t="shared" si="0"/>
        <v>2030</v>
      </c>
      <c r="R4" s="2">
        <f t="shared" si="0"/>
        <v>2031</v>
      </c>
      <c r="S4" s="2">
        <f t="shared" si="0"/>
        <v>2032</v>
      </c>
    </row>
    <row r="5" spans="1:19" x14ac:dyDescent="0.25">
      <c r="B5" s="42" t="s">
        <v>0</v>
      </c>
      <c r="C5" s="42"/>
      <c r="D5" s="42"/>
      <c r="E5" s="42" t="str">
        <f>_xlfn.CONCAT(E4,"E")</f>
        <v>2018E</v>
      </c>
      <c r="F5" s="42" t="str">
        <f>_xlfn.CONCAT(F4,"E")</f>
        <v>2019E</v>
      </c>
      <c r="G5" s="42" t="str">
        <f t="shared" ref="G5:S5" si="1">_xlfn.CONCAT(G4,"E")</f>
        <v>2020E</v>
      </c>
      <c r="H5" s="42" t="str">
        <f t="shared" si="1"/>
        <v>2021E</v>
      </c>
      <c r="I5" s="42" t="str">
        <f t="shared" si="1"/>
        <v>2022E</v>
      </c>
      <c r="J5" s="42" t="str">
        <f t="shared" si="1"/>
        <v>2023E</v>
      </c>
      <c r="K5" s="42" t="str">
        <f t="shared" si="1"/>
        <v>2024E</v>
      </c>
      <c r="L5" s="42" t="str">
        <f t="shared" si="1"/>
        <v>2025E</v>
      </c>
      <c r="M5" s="42" t="str">
        <f t="shared" si="1"/>
        <v>2026E</v>
      </c>
      <c r="N5" s="42" t="str">
        <f t="shared" si="1"/>
        <v>2027E</v>
      </c>
      <c r="O5" s="42" t="str">
        <f t="shared" si="1"/>
        <v>2028E</v>
      </c>
      <c r="P5" s="42" t="str">
        <f t="shared" si="1"/>
        <v>2029E</v>
      </c>
      <c r="Q5" s="42" t="str">
        <f t="shared" si="1"/>
        <v>2030E</v>
      </c>
      <c r="R5" s="42" t="str">
        <f t="shared" si="1"/>
        <v>2031E</v>
      </c>
      <c r="S5" s="42" t="str">
        <f t="shared" si="1"/>
        <v>2032E</v>
      </c>
    </row>
    <row r="6" spans="1:19" x14ac:dyDescent="0.25">
      <c r="B6" t="s">
        <v>21</v>
      </c>
      <c r="J6">
        <f>IS!J26</f>
        <v>1410</v>
      </c>
      <c r="K6">
        <f>IS!K26</f>
        <v>1959.9</v>
      </c>
      <c r="L6">
        <f>IS!L26</f>
        <v>2724.2610000000004</v>
      </c>
      <c r="M6">
        <f>IS!M26</f>
        <v>3786.7227900000007</v>
      </c>
      <c r="N6">
        <f>IS!N26</f>
        <v>5263.5446781000019</v>
      </c>
      <c r="O6">
        <f>IS!O26</f>
        <v>7316.3271025590029</v>
      </c>
      <c r="P6">
        <f>IS!P26</f>
        <v>10169.694672557014</v>
      </c>
      <c r="Q6">
        <f>IS!Q26</f>
        <v>14135.875594854251</v>
      </c>
      <c r="R6">
        <f>IS!R26</f>
        <v>19648.867076847411</v>
      </c>
      <c r="S6">
        <f>IS!S26</f>
        <v>27311.925236817904</v>
      </c>
    </row>
    <row r="7" spans="1:19" x14ac:dyDescent="0.25">
      <c r="B7" t="s">
        <v>126</v>
      </c>
      <c r="J7">
        <f>-IS!J16</f>
        <v>639.73801058670688</v>
      </c>
      <c r="K7">
        <f>-IS!K16</f>
        <v>971.98670543256901</v>
      </c>
      <c r="L7">
        <f>-IS!L16</f>
        <v>1476.7891541589304</v>
      </c>
      <c r="M7">
        <f>-IS!M16</f>
        <v>2243.7613535782543</v>
      </c>
      <c r="N7">
        <f>-IS!N16</f>
        <v>3409.0614747767281</v>
      </c>
      <c r="O7">
        <f>-IS!O16</f>
        <v>5179.5615965455027</v>
      </c>
      <c r="P7">
        <f>-IS!P16</f>
        <v>7869.5730572491502</v>
      </c>
      <c r="Q7">
        <f>-IS!Q16</f>
        <v>11956.645161761555</v>
      </c>
      <c r="R7">
        <f>-IS!R16</f>
        <v>18166.343013053985</v>
      </c>
      <c r="S7">
        <f>-IS!S16</f>
        <v>27601.054811207145</v>
      </c>
    </row>
    <row r="8" spans="1:19" x14ac:dyDescent="0.25">
      <c r="B8" t="s">
        <v>127</v>
      </c>
      <c r="J8">
        <f>Assumption!J30</f>
        <v>-2876.8387628368287</v>
      </c>
      <c r="K8">
        <f>Assumption!K30</f>
        <v>-3434.1084096931677</v>
      </c>
      <c r="L8">
        <f>Assumption!L30</f>
        <v>-4099.3262194146228</v>
      </c>
      <c r="M8">
        <f>Assumption!M30</f>
        <v>-4893.4027259441236</v>
      </c>
      <c r="N8">
        <f>Assumption!N30</f>
        <v>-5841.2990224761234</v>
      </c>
      <c r="O8">
        <f>Assumption!O30</f>
        <v>-6972.8113913610732</v>
      </c>
      <c r="P8">
        <f>Assumption!P30</f>
        <v>-8323.5079239077731</v>
      </c>
      <c r="Q8">
        <f>Assumption!Q30</f>
        <v>-9935.8465718993266</v>
      </c>
      <c r="R8">
        <f>Assumption!R30</f>
        <v>-11860.509775783985</v>
      </c>
      <c r="S8">
        <f>Assumption!S30</f>
        <v>-14157.997622398552</v>
      </c>
    </row>
    <row r="9" spans="1:19" x14ac:dyDescent="0.25">
      <c r="B9" s="18" t="s">
        <v>128</v>
      </c>
      <c r="J9">
        <f>BS!I23-BS!T23+BS!I25-BS!T25+BS!T49-BS!I49</f>
        <v>-203.38766088068593</v>
      </c>
      <c r="K9">
        <f>BS!J23-BS!U23+BS!J25-BS!U25+BS!U49-BS!J49</f>
        <v>-2707.6011710926555</v>
      </c>
      <c r="L9">
        <f>BS!K23-BS!V23+BS!K25-BS!V25+BS!V49-BS!K49</f>
        <v>-3162.7591689977298</v>
      </c>
      <c r="M9">
        <f>BS!L23-BS!W23+BS!L25-BS!W25+BS!W49-BS!L49</f>
        <v>-3652.8865812031563</v>
      </c>
      <c r="N9">
        <f>BS!M23-BS!X23+BS!M25-BS!X25+BS!X49-BS!M49</f>
        <v>-4170.616494392566</v>
      </c>
      <c r="O9">
        <f>BS!N23-BS!Y23+BS!N25-BS!Y25+BS!Y49-BS!N49</f>
        <v>-4706.1297254798146</v>
      </c>
      <c r="P9">
        <f>BS!O23-BS!Z23+BS!O25-BS!Z25+BS!Z49-BS!O49</f>
        <v>-5247.2874298553488</v>
      </c>
      <c r="Q9">
        <f>BS!P23-BS!AA23+BS!P25-BS!AA25+BS!AA49-BS!P49</f>
        <v>-5779.9638042078532</v>
      </c>
      <c r="R9">
        <f>BS!Q23-BS!AB23+BS!Q25-BS!AB25+BS!AB49-BS!Q49</f>
        <v>-6288.5840245011532</v>
      </c>
      <c r="S9">
        <f>BS!R23-BS!AC23+BS!R25-BS!AC25+BS!AC49-BS!R49</f>
        <v>-6756.8491350556596</v>
      </c>
    </row>
    <row r="10" spans="1:19" x14ac:dyDescent="0.25">
      <c r="B10" s="50" t="s">
        <v>139</v>
      </c>
      <c r="C10" s="50"/>
      <c r="D10" s="50"/>
      <c r="E10" s="50"/>
      <c r="F10" s="50"/>
      <c r="G10" s="50"/>
      <c r="H10" s="50"/>
      <c r="I10" s="50"/>
      <c r="J10" s="50">
        <f>SUM(J6:J9)</f>
        <v>-1030.4884131308077</v>
      </c>
      <c r="K10" s="50">
        <f t="shared" ref="K10:S10" si="2">SUM(K6:K9)</f>
        <v>-3209.8228753532539</v>
      </c>
      <c r="L10" s="50">
        <f t="shared" si="2"/>
        <v>-3061.0352342534215</v>
      </c>
      <c r="M10" s="50">
        <f t="shared" si="2"/>
        <v>-2515.8051635690254</v>
      </c>
      <c r="N10" s="50">
        <f t="shared" si="2"/>
        <v>-1339.3093639919598</v>
      </c>
      <c r="O10" s="50">
        <f t="shared" si="2"/>
        <v>816.94758226361773</v>
      </c>
      <c r="P10" s="50">
        <f t="shared" si="2"/>
        <v>4468.4723760430425</v>
      </c>
      <c r="Q10" s="50">
        <f t="shared" si="2"/>
        <v>10376.710380508626</v>
      </c>
      <c r="R10" s="50">
        <f t="shared" si="2"/>
        <v>19666.11628961626</v>
      </c>
      <c r="S10" s="50">
        <f t="shared" si="2"/>
        <v>33998.13329057084</v>
      </c>
    </row>
    <row r="11" spans="1:19" x14ac:dyDescent="0.25">
      <c r="B11" s="18" t="s">
        <v>140</v>
      </c>
      <c r="J11">
        <f>IS!E20*(1-IS!$J$23)</f>
        <v>17.070440738452774</v>
      </c>
      <c r="K11">
        <f>IS!F20*(1-IS!$J$23)</f>
        <v>19.605262565044374</v>
      </c>
      <c r="L11">
        <f>IS!G20*(1-IS!$J$23)</f>
        <v>22.516484848484843</v>
      </c>
      <c r="M11">
        <f>IS!H20*(1-IS!$J$23)</f>
        <v>25.86</v>
      </c>
      <c r="N11">
        <f>IS!I20*(1-IS!$J$23)</f>
        <v>29.700000000000003</v>
      </c>
      <c r="O11">
        <f>IS!J20*(1-IS!$J$23)</f>
        <v>34.110208816705345</v>
      </c>
      <c r="P11">
        <f>IS!K20*(1-IS!$J$23)</f>
        <v>39.175297828930738</v>
      </c>
      <c r="Q11">
        <f>IS!L20*(1-IS!$J$23)</f>
        <v>44.992511427658286</v>
      </c>
      <c r="R11">
        <f>IS!M20*(1-IS!$J$23)</f>
        <v>51.67353400624328</v>
      </c>
      <c r="S11">
        <f>IS!N20*(1-IS!$J$23)</f>
        <v>59.346634183504477</v>
      </c>
    </row>
    <row r="12" spans="1:19" x14ac:dyDescent="0.25">
      <c r="B12" s="50" t="s">
        <v>141</v>
      </c>
      <c r="C12" s="51"/>
      <c r="D12" s="50"/>
      <c r="E12" s="50"/>
      <c r="F12" s="50"/>
      <c r="G12" s="50"/>
      <c r="H12" s="50"/>
      <c r="I12" s="50"/>
      <c r="J12" s="50">
        <f>J11+J10</f>
        <v>-1013.4179723923548</v>
      </c>
      <c r="K12" s="50">
        <f t="shared" ref="K12:S12" si="3">K11+K10</f>
        <v>-3190.2176127882094</v>
      </c>
      <c r="L12" s="50">
        <f t="shared" si="3"/>
        <v>-3038.5187494049369</v>
      </c>
      <c r="M12" s="50">
        <f t="shared" si="3"/>
        <v>-2489.9451635690252</v>
      </c>
      <c r="N12" s="50">
        <f t="shared" si="3"/>
        <v>-1309.6093639919598</v>
      </c>
      <c r="O12" s="50">
        <f t="shared" si="3"/>
        <v>851.05779108032311</v>
      </c>
      <c r="P12" s="50">
        <f t="shared" si="3"/>
        <v>4507.647673871973</v>
      </c>
      <c r="Q12" s="50">
        <f t="shared" si="3"/>
        <v>10421.702891936284</v>
      </c>
      <c r="R12" s="50">
        <f t="shared" si="3"/>
        <v>19717.789823622505</v>
      </c>
      <c r="S12" s="50">
        <f t="shared" si="3"/>
        <v>34057.479924754341</v>
      </c>
    </row>
    <row r="13" spans="1:19" x14ac:dyDescent="0.25">
      <c r="B13" s="18" t="s">
        <v>142</v>
      </c>
      <c r="C13" s="17"/>
      <c r="J13" s="22">
        <f ca="1">IF(((-TODAY()+DATE(2023,3,31))/365)&gt;0,(-TODAY()+DATE(2023,3,31))/365,0)</f>
        <v>0.11780821917808219</v>
      </c>
      <c r="K13" s="22">
        <f ca="1">1+J13</f>
        <v>1.1178082191780823</v>
      </c>
      <c r="L13" s="22">
        <f t="shared" ref="L13:S13" ca="1" si="4">1+K13</f>
        <v>2.117808219178082</v>
      </c>
      <c r="M13" s="22">
        <f t="shared" ca="1" si="4"/>
        <v>3.117808219178082</v>
      </c>
      <c r="N13" s="22">
        <f t="shared" ca="1" si="4"/>
        <v>4.117808219178082</v>
      </c>
      <c r="O13" s="22">
        <f t="shared" ca="1" si="4"/>
        <v>5.117808219178082</v>
      </c>
      <c r="P13" s="22">
        <f t="shared" ca="1" si="4"/>
        <v>6.117808219178082</v>
      </c>
      <c r="Q13" s="22">
        <f t="shared" ca="1" si="4"/>
        <v>7.117808219178082</v>
      </c>
      <c r="R13" s="22">
        <f t="shared" ca="1" si="4"/>
        <v>8.117808219178082</v>
      </c>
      <c r="S13" s="22">
        <f t="shared" ca="1" si="4"/>
        <v>9.117808219178082</v>
      </c>
    </row>
    <row r="14" spans="1:19" x14ac:dyDescent="0.25">
      <c r="B14" s="18" t="s">
        <v>124</v>
      </c>
      <c r="J14" s="17">
        <f>WACC!C26</f>
        <v>0.12437935825485338</v>
      </c>
    </row>
    <row r="15" spans="1:19" x14ac:dyDescent="0.25">
      <c r="B15" s="18" t="s">
        <v>143</v>
      </c>
      <c r="C15" s="19"/>
      <c r="J15">
        <f ca="1">J12/(1+$J$14)^J13</f>
        <v>-999.51806569207486</v>
      </c>
      <c r="K15">
        <f t="shared" ref="K15:S15" ca="1" si="5">K12/(1+$J$14)^K13</f>
        <v>-2798.3980561347075</v>
      </c>
      <c r="L15">
        <f t="shared" ca="1" si="5"/>
        <v>-2370.4906056223508</v>
      </c>
      <c r="M15">
        <f t="shared" ca="1" si="5"/>
        <v>-1727.6399438232713</v>
      </c>
      <c r="N15">
        <f t="shared" ca="1" si="5"/>
        <v>-808.15071507407617</v>
      </c>
      <c r="O15">
        <f t="shared" ca="1" si="5"/>
        <v>467.08592176350652</v>
      </c>
      <c r="P15">
        <f t="shared" ca="1" si="5"/>
        <v>2200.2641624779617</v>
      </c>
      <c r="Q15">
        <f t="shared" ca="1" si="5"/>
        <v>4524.2926118919459</v>
      </c>
      <c r="R15">
        <f t="shared" ca="1" si="5"/>
        <v>7613.0269390424364</v>
      </c>
      <c r="S15">
        <f t="shared" ca="1" si="5"/>
        <v>11694.961022846477</v>
      </c>
    </row>
    <row r="16" spans="1:19" x14ac:dyDescent="0.25">
      <c r="B16" s="18" t="s">
        <v>144</v>
      </c>
      <c r="J16">
        <f ca="1">SUM(J15:S15)</f>
        <v>17795.433271675847</v>
      </c>
    </row>
    <row r="17" spans="2:19" x14ac:dyDescent="0.25">
      <c r="B17" s="14"/>
    </row>
    <row r="18" spans="2:19" x14ac:dyDescent="0.25">
      <c r="B18" s="18" t="s">
        <v>145</v>
      </c>
      <c r="C18" s="17"/>
      <c r="J18" s="16">
        <v>0.05</v>
      </c>
    </row>
    <row r="19" spans="2:19" x14ac:dyDescent="0.25">
      <c r="B19" s="18" t="s">
        <v>146</v>
      </c>
      <c r="C19" s="16"/>
      <c r="J19">
        <f ca="1">S15*(1+J14)/(J14-J18)</f>
        <v>176790.61877124509</v>
      </c>
    </row>
    <row r="20" spans="2:19" x14ac:dyDescent="0.25">
      <c r="B20" s="18" t="s">
        <v>147</v>
      </c>
      <c r="C20" s="20"/>
      <c r="J20">
        <f ca="1">J19/(1+J14)^S13</f>
        <v>60707.938470568894</v>
      </c>
    </row>
    <row r="22" spans="2:19" x14ac:dyDescent="0.25">
      <c r="B22" s="18" t="s">
        <v>148</v>
      </c>
      <c r="J22">
        <f ca="1">J20+J16</f>
        <v>78503.371742244737</v>
      </c>
    </row>
    <row r="23" spans="2:19" x14ac:dyDescent="0.25">
      <c r="B23" s="18" t="s">
        <v>149</v>
      </c>
      <c r="J23">
        <f>BS!I16+BS!I27+BS!I26+BS!I24</f>
        <v>1694.6700000000003</v>
      </c>
    </row>
    <row r="24" spans="2:19" x14ac:dyDescent="0.25">
      <c r="B24" s="18" t="s">
        <v>150</v>
      </c>
      <c r="J24">
        <f>-(BS!I40+BS!I50)</f>
        <v>-790.06999999999994</v>
      </c>
    </row>
    <row r="25" spans="2:19" ht="15.75" thickBot="1" x14ac:dyDescent="0.3">
      <c r="B25" s="52" t="s">
        <v>151</v>
      </c>
      <c r="C25" s="52"/>
      <c r="D25" s="52"/>
      <c r="E25" s="52"/>
      <c r="F25" s="52"/>
      <c r="G25" s="52"/>
      <c r="H25" s="52"/>
      <c r="I25" s="52"/>
      <c r="J25" s="52">
        <f ca="1">J24+J23+J22</f>
        <v>79407.971742244743</v>
      </c>
      <c r="K25" s="53"/>
      <c r="L25" s="53"/>
      <c r="M25" s="53"/>
      <c r="N25" s="53"/>
      <c r="O25" s="53"/>
      <c r="P25" s="53"/>
      <c r="Q25" s="53"/>
      <c r="R25" s="53"/>
      <c r="S25" s="53"/>
    </row>
    <row r="26" spans="2:19" ht="15.75" thickTop="1" x14ac:dyDescent="0.25">
      <c r="B26" s="14"/>
      <c r="C26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C48F-851A-4285-AEC9-0BEDF38117B6}">
  <dimension ref="A1:S30"/>
  <sheetViews>
    <sheetView showGridLines="0" tabSelected="1" workbookViewId="0">
      <selection activeCell="C30" sqref="C30"/>
    </sheetView>
  </sheetViews>
  <sheetFormatPr defaultRowHeight="15" x14ac:dyDescent="0.25"/>
  <cols>
    <col min="2" max="2" width="33.7109375" customWidth="1"/>
    <col min="19" max="19" width="11.140625" customWidth="1"/>
  </cols>
  <sheetData>
    <row r="1" spans="1:19" x14ac:dyDescent="0.25">
      <c r="A1" s="42" t="str">
        <f>[1]Assumptions!A1</f>
        <v>Restaurant Brands Asia Limited</v>
      </c>
      <c r="B1" s="41"/>
      <c r="C1" s="41"/>
      <c r="D1" s="41"/>
      <c r="E1" s="41"/>
      <c r="F1" s="9"/>
      <c r="G1" s="9"/>
      <c r="H1" s="9"/>
      <c r="I1" s="9"/>
      <c r="J1" s="9"/>
    </row>
    <row r="2" spans="1:19" x14ac:dyDescent="0.25">
      <c r="A2" s="42" t="s">
        <v>152</v>
      </c>
      <c r="B2" s="41"/>
      <c r="C2" s="41"/>
      <c r="D2" s="41"/>
      <c r="E2" s="41"/>
      <c r="F2" s="9"/>
      <c r="G2" s="9"/>
      <c r="H2" s="23"/>
      <c r="I2" s="9"/>
      <c r="J2" s="9"/>
    </row>
    <row r="3" spans="1:19" x14ac:dyDescent="0.25">
      <c r="A3" s="1" t="s">
        <v>163</v>
      </c>
      <c r="B3" s="9"/>
      <c r="C3" s="22"/>
      <c r="D3" s="22"/>
      <c r="E3" s="22"/>
      <c r="F3" s="22"/>
      <c r="G3" s="22"/>
      <c r="H3" s="22"/>
      <c r="I3" s="9"/>
      <c r="J3" s="9"/>
    </row>
    <row r="4" spans="1:19" x14ac:dyDescent="0.25">
      <c r="A4" s="1"/>
      <c r="B4" s="9"/>
      <c r="C4" s="22"/>
      <c r="D4" s="22"/>
      <c r="E4" s="22"/>
      <c r="F4" s="22"/>
      <c r="G4" s="22"/>
      <c r="H4" s="22"/>
      <c r="I4" s="9"/>
      <c r="J4" s="9"/>
      <c r="K4" s="2">
        <v>2024</v>
      </c>
      <c r="L4" s="2">
        <f t="shared" ref="K4:S4" si="0">K4+1</f>
        <v>2025</v>
      </c>
      <c r="M4" s="2">
        <f t="shared" si="0"/>
        <v>2026</v>
      </c>
      <c r="N4" s="2">
        <f t="shared" si="0"/>
        <v>2027</v>
      </c>
      <c r="O4" s="2">
        <f t="shared" si="0"/>
        <v>2028</v>
      </c>
      <c r="P4" s="2">
        <f t="shared" si="0"/>
        <v>2029</v>
      </c>
      <c r="Q4" s="2">
        <f t="shared" si="0"/>
        <v>2030</v>
      </c>
      <c r="R4" s="2">
        <f t="shared" si="0"/>
        <v>2031</v>
      </c>
      <c r="S4" s="2">
        <f t="shared" si="0"/>
        <v>2032</v>
      </c>
    </row>
    <row r="5" spans="1:19" x14ac:dyDescent="0.25">
      <c r="A5" s="36"/>
      <c r="B5" s="42" t="s">
        <v>152</v>
      </c>
      <c r="C5" s="54"/>
      <c r="D5" s="54"/>
      <c r="E5" s="54"/>
      <c r="F5" s="54"/>
      <c r="G5" s="54"/>
      <c r="H5" s="55"/>
      <c r="I5" s="55"/>
      <c r="J5" s="55" t="s">
        <v>129</v>
      </c>
      <c r="K5" s="42" t="str">
        <f t="shared" ref="K5:S5" si="1">_xlfn.CONCAT(K4,"E")</f>
        <v>2024E</v>
      </c>
      <c r="L5" s="42" t="str">
        <f t="shared" si="1"/>
        <v>2025E</v>
      </c>
      <c r="M5" s="42" t="str">
        <f t="shared" si="1"/>
        <v>2026E</v>
      </c>
      <c r="N5" s="42" t="str">
        <f t="shared" si="1"/>
        <v>2027E</v>
      </c>
      <c r="O5" s="42" t="str">
        <f t="shared" si="1"/>
        <v>2028E</v>
      </c>
      <c r="P5" s="42" t="str">
        <f t="shared" si="1"/>
        <v>2029E</v>
      </c>
      <c r="Q5" s="42" t="str">
        <f t="shared" si="1"/>
        <v>2030E</v>
      </c>
      <c r="R5" s="42" t="str">
        <f t="shared" si="1"/>
        <v>2031E</v>
      </c>
      <c r="S5" s="42" t="str">
        <f t="shared" si="1"/>
        <v>2032E</v>
      </c>
    </row>
    <row r="6" spans="1:19" x14ac:dyDescent="0.25">
      <c r="A6" s="36"/>
      <c r="B6" s="9" t="s">
        <v>153</v>
      </c>
      <c r="C6" s="9"/>
      <c r="D6" s="9"/>
      <c r="E6" s="9"/>
      <c r="F6" s="9"/>
      <c r="G6" s="9"/>
      <c r="H6" s="9"/>
      <c r="I6" s="9"/>
      <c r="J6" s="24">
        <f ca="1">'DCF Analysis'!J22</f>
        <v>78503.371742244737</v>
      </c>
    </row>
    <row r="7" spans="1:19" x14ac:dyDescent="0.25">
      <c r="A7" s="36"/>
      <c r="B7" s="9" t="s">
        <v>154</v>
      </c>
      <c r="C7" s="9"/>
      <c r="D7" s="9"/>
      <c r="E7" s="9"/>
      <c r="F7" s="9"/>
      <c r="G7" s="9"/>
      <c r="H7" s="9"/>
      <c r="I7" s="9"/>
      <c r="J7" s="25">
        <f>IS!J14</f>
        <v>3718.4502251498852</v>
      </c>
      <c r="S7" s="25">
        <f>IS!S14</f>
        <v>62046.358725223923</v>
      </c>
    </row>
    <row r="8" spans="1:19" x14ac:dyDescent="0.25">
      <c r="A8" s="36"/>
      <c r="B8" s="9"/>
      <c r="C8" s="9"/>
      <c r="D8" s="9"/>
      <c r="E8" s="9"/>
      <c r="F8" s="9"/>
      <c r="G8" s="9"/>
      <c r="H8" s="9"/>
      <c r="I8" s="9"/>
      <c r="J8" s="9"/>
    </row>
    <row r="9" spans="1:19" x14ac:dyDescent="0.25">
      <c r="A9" s="36"/>
      <c r="B9" s="9" t="s">
        <v>155</v>
      </c>
      <c r="C9" s="9"/>
      <c r="D9" s="9"/>
      <c r="E9" s="9"/>
      <c r="F9" s="9"/>
      <c r="G9" s="9"/>
      <c r="H9" s="9"/>
      <c r="I9" s="9"/>
      <c r="J9" s="26">
        <f ca="1">$J$6/$J$7</f>
        <v>21.111852247284119</v>
      </c>
      <c r="S9" s="40">
        <f ca="1">J9</f>
        <v>21.111852247284119</v>
      </c>
    </row>
    <row r="10" spans="1:19" x14ac:dyDescent="0.25">
      <c r="A10" s="36"/>
      <c r="B10" s="9" t="s">
        <v>156</v>
      </c>
      <c r="C10" s="9"/>
      <c r="D10" s="9"/>
      <c r="E10" s="9"/>
      <c r="F10" s="9"/>
      <c r="G10" s="9"/>
      <c r="H10" s="9"/>
      <c r="I10" s="9"/>
      <c r="J10" s="24">
        <f ca="1">J9*J7</f>
        <v>78503.371742244737</v>
      </c>
      <c r="S10" s="24">
        <f ca="1">S9*S7</f>
        <v>1309913.5578889153</v>
      </c>
    </row>
    <row r="11" spans="1:19" x14ac:dyDescent="0.25">
      <c r="A11" s="36"/>
      <c r="B11" s="9"/>
      <c r="C11" s="9"/>
      <c r="D11" s="9"/>
      <c r="E11" s="9"/>
      <c r="F11" s="9"/>
      <c r="G11" s="9"/>
      <c r="H11" s="9"/>
      <c r="I11" s="9"/>
      <c r="J11" s="24"/>
    </row>
    <row r="12" spans="1:19" x14ac:dyDescent="0.25">
      <c r="A12" s="36"/>
      <c r="B12" s="57" t="s">
        <v>157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8">
        <f ca="1">S10/J10</f>
        <v>16.686080213087411</v>
      </c>
    </row>
    <row r="13" spans="1:19" x14ac:dyDescent="0.25">
      <c r="A13" s="36"/>
      <c r="B13" s="57" t="s">
        <v>158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6">
        <f ca="1">(S10/J10)^(1/9)-1</f>
        <v>0.36715308705408933</v>
      </c>
    </row>
    <row r="14" spans="1:19" x14ac:dyDescent="0.25">
      <c r="A14" s="36"/>
      <c r="B14" s="9"/>
      <c r="C14" s="9"/>
      <c r="D14" s="9"/>
      <c r="E14" s="9"/>
      <c r="F14" s="9"/>
      <c r="G14" s="9"/>
      <c r="H14" s="9"/>
      <c r="I14" s="9"/>
      <c r="J14" s="9"/>
    </row>
    <row r="15" spans="1:19" x14ac:dyDescent="0.25">
      <c r="A15" s="36"/>
      <c r="B15" s="27" t="s">
        <v>159</v>
      </c>
      <c r="C15" s="28" t="s">
        <v>160</v>
      </c>
      <c r="D15" s="28"/>
      <c r="E15" s="28"/>
      <c r="F15" s="28"/>
      <c r="G15" s="28"/>
      <c r="H15" s="28"/>
      <c r="I15" s="9"/>
      <c r="J15" s="9"/>
    </row>
    <row r="16" spans="1:19" x14ac:dyDescent="0.25">
      <c r="A16" s="37"/>
      <c r="B16" s="29"/>
      <c r="C16" s="30">
        <f ca="1">S13</f>
        <v>0.36715308705408933</v>
      </c>
      <c r="D16" s="31">
        <v>19.111852247284119</v>
      </c>
      <c r="E16" s="31">
        <v>20.111852247284119</v>
      </c>
      <c r="F16" s="31">
        <v>21.111852247284119</v>
      </c>
      <c r="G16" s="31">
        <v>22.111852247284119</v>
      </c>
      <c r="H16" s="31">
        <v>23.111852247284119</v>
      </c>
      <c r="I16" s="9"/>
      <c r="J16" s="9"/>
    </row>
    <row r="17" spans="1:10" x14ac:dyDescent="0.25">
      <c r="A17" s="36"/>
      <c r="B17" s="32" t="s">
        <v>161</v>
      </c>
      <c r="C17" s="31">
        <v>19.111852247284119</v>
      </c>
      <c r="D17" s="33">
        <f t="dataTable" ref="D17:H21" dt2D="1" dtr="1" r1="S9" r2="J9"/>
        <v>0.36715308705408933</v>
      </c>
      <c r="E17" s="33">
        <v>0.37492237547069651</v>
      </c>
      <c r="F17" s="34">
        <v>0.3823555644830452</v>
      </c>
      <c r="G17" s="33">
        <v>0.3894821228566212</v>
      </c>
      <c r="H17" s="33">
        <v>0.39632774229285128</v>
      </c>
      <c r="I17" s="9"/>
      <c r="J17" s="9"/>
    </row>
    <row r="18" spans="1:10" x14ac:dyDescent="0.25">
      <c r="A18" s="36"/>
      <c r="B18" s="32"/>
      <c r="C18" s="31">
        <v>20.111852247284119</v>
      </c>
      <c r="D18" s="33">
        <v>0.35942770063775287</v>
      </c>
      <c r="E18" s="33">
        <v>0.36715308705408933</v>
      </c>
      <c r="F18" s="34">
        <v>0.37454427326662731</v>
      </c>
      <c r="G18" s="33">
        <v>0.38163056152138797</v>
      </c>
      <c r="H18" s="33">
        <v>0.38843749834342889</v>
      </c>
      <c r="I18" s="9"/>
      <c r="J18" s="9"/>
    </row>
    <row r="19" spans="1:10" x14ac:dyDescent="0.25">
      <c r="A19" s="36"/>
      <c r="B19" s="32"/>
      <c r="C19" s="31">
        <v>21.111852247284119</v>
      </c>
      <c r="D19" s="33">
        <v>0.35211779911379759</v>
      </c>
      <c r="E19" s="33">
        <v>0.35980164465678577</v>
      </c>
      <c r="F19" s="34">
        <v>0.36715308705408933</v>
      </c>
      <c r="G19" s="33">
        <v>0.37420127098797407</v>
      </c>
      <c r="H19" s="33">
        <v>0.38097160561496946</v>
      </c>
      <c r="I19" s="9"/>
      <c r="J19" s="9"/>
    </row>
    <row r="20" spans="1:10" x14ac:dyDescent="0.25">
      <c r="A20" s="36"/>
      <c r="B20" s="32"/>
      <c r="C20" s="31">
        <v>22.111852247284119</v>
      </c>
      <c r="D20" s="33">
        <v>0.3451828797903842</v>
      </c>
      <c r="E20" s="33">
        <v>0.35282731541733625</v>
      </c>
      <c r="F20" s="34">
        <v>0.36014105277150721</v>
      </c>
      <c r="G20" s="33">
        <v>0.36715308705408933</v>
      </c>
      <c r="H20" s="33">
        <v>0.37388869709979344</v>
      </c>
      <c r="I20" s="9"/>
      <c r="J20" s="9"/>
    </row>
    <row r="21" spans="1:10" x14ac:dyDescent="0.25">
      <c r="A21" s="36"/>
      <c r="B21" s="32"/>
      <c r="C21" s="31">
        <v>23.111852247284119</v>
      </c>
      <c r="D21" s="33">
        <v>0.33858800253609722</v>
      </c>
      <c r="E21" s="33">
        <v>0.3461949606457575</v>
      </c>
      <c r="F21" s="34">
        <v>0.35347284175997351</v>
      </c>
      <c r="G21" s="33">
        <v>0.36045049892841652</v>
      </c>
      <c r="H21" s="33">
        <v>0.36715308705408933</v>
      </c>
      <c r="I21" s="9"/>
      <c r="J21" s="9"/>
    </row>
    <row r="22" spans="1:10" x14ac:dyDescent="0.25">
      <c r="A22" s="36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6"/>
      <c r="B23" s="9"/>
      <c r="C23" s="9"/>
      <c r="D23" s="9"/>
      <c r="E23" s="9"/>
      <c r="F23" s="9"/>
      <c r="G23" s="9"/>
      <c r="H23" s="9"/>
      <c r="I23" s="9"/>
      <c r="J23" s="9"/>
    </row>
    <row r="24" spans="1:10" x14ac:dyDescent="0.25">
      <c r="A24" s="36"/>
      <c r="B24" s="27" t="s">
        <v>162</v>
      </c>
      <c r="C24" s="28" t="s">
        <v>160</v>
      </c>
      <c r="D24" s="28"/>
      <c r="E24" s="28"/>
      <c r="F24" s="28"/>
      <c r="G24" s="28"/>
      <c r="H24" s="28"/>
      <c r="I24" s="9"/>
      <c r="J24" s="9"/>
    </row>
    <row r="25" spans="1:10" x14ac:dyDescent="0.25">
      <c r="A25" s="36"/>
      <c r="B25" s="29"/>
      <c r="C25" s="30">
        <f ca="1">S12</f>
        <v>16.686080213087411</v>
      </c>
      <c r="D25" s="31">
        <v>19.111852247284119</v>
      </c>
      <c r="E25" s="31">
        <v>20.111852247284119</v>
      </c>
      <c r="F25" s="31">
        <v>21.111852247284119</v>
      </c>
      <c r="G25" s="31">
        <v>22.111852247284119</v>
      </c>
      <c r="H25" s="31">
        <v>23.111852247284119</v>
      </c>
      <c r="I25" s="9"/>
      <c r="J25" s="9"/>
    </row>
    <row r="26" spans="1:10" x14ac:dyDescent="0.25">
      <c r="A26" s="36"/>
      <c r="B26" s="32" t="s">
        <v>161</v>
      </c>
      <c r="C26" s="31">
        <v>19.111852247284119</v>
      </c>
      <c r="D26" s="26">
        <f t="dataTable" ref="D26:H30" dt2D="1" dtr="1" r1="S9" r2="J9"/>
        <v>16.686080213087411</v>
      </c>
      <c r="E26" s="26">
        <v>17.55915520326575</v>
      </c>
      <c r="F26" s="35">
        <v>18.432230193444084</v>
      </c>
      <c r="G26" s="26">
        <v>19.305305183622423</v>
      </c>
      <c r="H26" s="26">
        <v>20.178380173800758</v>
      </c>
      <c r="I26" s="9"/>
      <c r="J26" s="9"/>
    </row>
    <row r="27" spans="1:10" x14ac:dyDescent="0.25">
      <c r="A27" s="38"/>
      <c r="B27" s="32"/>
      <c r="C27" s="31">
        <v>20.111852247284119</v>
      </c>
      <c r="D27" s="26">
        <v>15.856416191697203</v>
      </c>
      <c r="E27" s="26">
        <v>16.686080213087408</v>
      </c>
      <c r="F27" s="35">
        <v>17.515744234477616</v>
      </c>
      <c r="G27" s="26">
        <v>18.345408255867824</v>
      </c>
      <c r="H27" s="26">
        <v>19.175072277258028</v>
      </c>
      <c r="I27" s="9"/>
      <c r="J27" s="9"/>
    </row>
    <row r="28" spans="1:10" x14ac:dyDescent="0.25">
      <c r="A28" s="39"/>
      <c r="B28" s="32"/>
      <c r="C28" s="31">
        <v>21.111852247284119</v>
      </c>
      <c r="D28" s="26">
        <v>15.105349160440531</v>
      </c>
      <c r="E28" s="26">
        <v>15.895714686763972</v>
      </c>
      <c r="F28" s="35">
        <v>16.686080213087411</v>
      </c>
      <c r="G28" s="26">
        <v>17.476445739410853</v>
      </c>
      <c r="H28" s="26">
        <v>18.26681126573429</v>
      </c>
      <c r="I28" s="9"/>
      <c r="J28" s="9"/>
    </row>
    <row r="29" spans="1:10" x14ac:dyDescent="0.25">
      <c r="A29" s="9"/>
      <c r="B29" s="32"/>
      <c r="C29" s="31">
        <v>22.111852247284119</v>
      </c>
      <c r="D29" s="26">
        <v>14.422215563511948</v>
      </c>
      <c r="E29" s="26">
        <v>15.176837113370436</v>
      </c>
      <c r="F29" s="35">
        <v>15.931458663228922</v>
      </c>
      <c r="G29" s="26">
        <v>16.686080213087408</v>
      </c>
      <c r="H29" s="26">
        <v>17.440701762945896</v>
      </c>
      <c r="I29" s="9"/>
      <c r="J29" s="9"/>
    </row>
    <row r="30" spans="1:10" x14ac:dyDescent="0.25">
      <c r="A30" s="9"/>
      <c r="B30" s="32"/>
      <c r="C30" s="31">
        <v>23.111852247284119</v>
      </c>
      <c r="D30" s="26">
        <v>13.798197401349862</v>
      </c>
      <c r="E30" s="26">
        <v>14.520168104284249</v>
      </c>
      <c r="F30" s="35">
        <v>15.242138807218636</v>
      </c>
      <c r="G30" s="26">
        <v>15.964109510153024</v>
      </c>
      <c r="H30" s="26">
        <v>16.686080213087411</v>
      </c>
      <c r="I30" s="9"/>
      <c r="J30" s="9"/>
    </row>
  </sheetData>
  <mergeCells count="2">
    <mergeCell ref="B17:B21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Assumption</vt:lpstr>
      <vt:lpstr>IS</vt:lpstr>
      <vt:lpstr>BS</vt:lpstr>
      <vt:lpstr>WACC</vt:lpstr>
      <vt:lpstr>DCF Analysis</vt:lpstr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padia</dc:creator>
  <cp:lastModifiedBy>yash padia</cp:lastModifiedBy>
  <dcterms:created xsi:type="dcterms:W3CDTF">2015-06-05T18:17:20Z</dcterms:created>
  <dcterms:modified xsi:type="dcterms:W3CDTF">2023-02-16T13:09:12Z</dcterms:modified>
</cp:coreProperties>
</file>