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yash\Desktop\davinci\davinci_otherstuff\DDI-prediction-app\"/>
    </mc:Choice>
  </mc:AlternateContent>
  <xr:revisionPtr revIDLastSave="0" documentId="13_ncr:1_{68ADD055-71DC-47FF-AD16-4B0FF7C6CF02}" xr6:coauthVersionLast="47" xr6:coauthVersionMax="47" xr10:uidLastSave="{00000000-0000-0000-0000-000000000000}"/>
  <bookViews>
    <workbookView xWindow="-110" yWindow="-110" windowWidth="19420" windowHeight="10420" tabRatio="900" xr2:uid="{00000000-000D-0000-FFFF-FFFF00000000}"/>
  </bookViews>
  <sheets>
    <sheet name="Reversible and time-dep inhibit" sheetId="24" r:id="rId1"/>
    <sheet name="induction" sheetId="23" r:id="rId2"/>
    <sheet name="SensitivityAnalysis" sheetId="17" r:id="rId3"/>
    <sheet name="Equations" sheetId="16" r:id="rId4"/>
    <sheet name="Enzymes-fm,CYP from rCYPs" sheetId="14" r:id="rId5"/>
    <sheet name="bloodflowparameters" sheetId="25" r:id="rId6"/>
    <sheet name="_isisStructSheet" sheetId="13" state="veryHidden" r:id="rId7"/>
    <sheet name="humanphysiologparams" sheetId="26" r:id="rId8"/>
    <sheet name="Substrates for various CYPs" sheetId="5" r:id="rId9"/>
    <sheet name="Inhibitors for various CYPs" sheetId="11" r:id="rId10"/>
    <sheet name="Subst, inh &amp; ind-transporters" sheetId="12" r:id="rId11"/>
    <sheet name="UsefulInfo" sheetId="10" r:id="rId12"/>
    <sheet name="References" sheetId="9" r:id="rId13"/>
    <sheet name="Sheet1" sheetId="18" r:id="rId14"/>
  </sheets>
  <externalReferences>
    <externalReference r:id="rId15"/>
    <externalReference r:id="rId16"/>
  </externalReferences>
  <definedNames>
    <definedName name="M_compound_is">SensitivityAnalysis!$A$4</definedName>
    <definedName name="MW" localSheetId="4">'Enzymes-fm,CYP from rCYPs'!#REF!</definedName>
    <definedName name="MW" localSheetId="0">'Reversible and time-dep inhibit'!#REF!</definedName>
    <definedName name="MW" localSheetId="2">SensitivityAnalysis!#REF!</definedName>
    <definedName name="MW">#REF!</definedName>
    <definedName name="_xlnm.Print_Area" localSheetId="4">'Enzymes-fm,CYP from rCYPs'!$B$1:$I$30</definedName>
    <definedName name="_xlnm.Print_Area" localSheetId="0">'Reversible and time-dep inhibit'!$A$6:$W$20</definedName>
    <definedName name="_xlnm.Print_Area" localSheetId="2">SensitivityAnalysis!#REF!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14" l="1"/>
  <c r="D2" i="26"/>
  <c r="D3" i="26"/>
  <c r="D4" i="26"/>
  <c r="D5" i="26"/>
  <c r="D6" i="26"/>
  <c r="D7" i="26"/>
  <c r="D8" i="26"/>
  <c r="D14" i="26"/>
  <c r="D15" i="26"/>
  <c r="E7" i="26"/>
  <c r="E2" i="26"/>
  <c r="E15" i="26"/>
  <c r="E14" i="26"/>
  <c r="E8" i="26"/>
  <c r="E6" i="26"/>
  <c r="E5" i="26"/>
  <c r="E4" i="26"/>
  <c r="E3" i="26"/>
  <c r="C4" i="25"/>
  <c r="C3" i="25"/>
  <c r="C2" i="25"/>
  <c r="F9" i="24"/>
  <c r="G9" i="24"/>
  <c r="H9" i="24"/>
  <c r="I9" i="24"/>
  <c r="J9" i="24"/>
  <c r="B23" i="24"/>
  <c r="C23" i="24"/>
  <c r="D23" i="24"/>
  <c r="E23" i="24"/>
  <c r="F23" i="24"/>
  <c r="G23" i="24"/>
  <c r="H23" i="24"/>
  <c r="I23" i="24"/>
  <c r="J23" i="24"/>
  <c r="K23" i="24"/>
  <c r="P23" i="24" s="1"/>
  <c r="L23" i="24"/>
  <c r="M23" i="24"/>
  <c r="N23" i="24"/>
  <c r="O23" i="24"/>
  <c r="Q23" i="24"/>
  <c r="R23" i="24"/>
  <c r="V14" i="24"/>
  <c r="AD14" i="24" s="1"/>
  <c r="U14" i="24"/>
  <c r="R14" i="24"/>
  <c r="Q14" i="24"/>
  <c r="O14" i="24"/>
  <c r="N14" i="24"/>
  <c r="L14" i="24"/>
  <c r="K14" i="24"/>
  <c r="J14" i="24"/>
  <c r="I14" i="24"/>
  <c r="H14" i="24"/>
  <c r="G14" i="24"/>
  <c r="M14" i="24" s="1"/>
  <c r="F14" i="24"/>
  <c r="E14" i="24"/>
  <c r="D14" i="24"/>
  <c r="C14" i="24"/>
  <c r="B14" i="24"/>
  <c r="V13" i="24"/>
  <c r="AD13" i="24" s="1"/>
  <c r="U13" i="24"/>
  <c r="R13" i="24"/>
  <c r="Q13" i="24"/>
  <c r="O13" i="24"/>
  <c r="N13" i="24"/>
  <c r="L13" i="24"/>
  <c r="K13" i="24"/>
  <c r="J13" i="24"/>
  <c r="I13" i="24"/>
  <c r="H13" i="24"/>
  <c r="G13" i="24"/>
  <c r="F13" i="24"/>
  <c r="E13" i="24"/>
  <c r="D13" i="24"/>
  <c r="C13" i="24"/>
  <c r="B13" i="24"/>
  <c r="G4" i="23"/>
  <c r="C18" i="23"/>
  <c r="H2" i="23" s="1"/>
  <c r="C17" i="23"/>
  <c r="C19" i="23" s="1"/>
  <c r="H3" i="23" s="1"/>
  <c r="B17" i="23"/>
  <c r="B19" i="23" s="1"/>
  <c r="G3" i="23" s="1"/>
  <c r="C15" i="23"/>
  <c r="B15" i="23"/>
  <c r="B16" i="23" s="1"/>
  <c r="B18" i="23" s="1"/>
  <c r="G2" i="23" s="1"/>
  <c r="C13" i="23"/>
  <c r="B13" i="23"/>
  <c r="B14" i="23" s="1"/>
  <c r="C16" i="23"/>
  <c r="C14" i="23"/>
  <c r="B61" i="24"/>
  <c r="B60" i="24"/>
  <c r="B59" i="24"/>
  <c r="B58" i="24"/>
  <c r="B57" i="24"/>
  <c r="B56" i="24"/>
  <c r="B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V23" i="24"/>
  <c r="U23" i="24"/>
  <c r="V22" i="24"/>
  <c r="U22" i="24"/>
  <c r="R22" i="24"/>
  <c r="Q22" i="24"/>
  <c r="O22" i="24"/>
  <c r="N22" i="24"/>
  <c r="L22" i="24"/>
  <c r="K22" i="24"/>
  <c r="J22" i="24"/>
  <c r="I22" i="24"/>
  <c r="H22" i="24"/>
  <c r="G22" i="24"/>
  <c r="F22" i="24"/>
  <c r="E22" i="24"/>
  <c r="D22" i="24"/>
  <c r="C22" i="24"/>
  <c r="B22" i="24"/>
  <c r="V21" i="24"/>
  <c r="U21" i="24"/>
  <c r="R21" i="24"/>
  <c r="Q21" i="24"/>
  <c r="O21" i="24"/>
  <c r="N21" i="24"/>
  <c r="L21" i="24"/>
  <c r="K21" i="24"/>
  <c r="J21" i="24"/>
  <c r="I21" i="24"/>
  <c r="H21" i="24"/>
  <c r="G21" i="24"/>
  <c r="F21" i="24"/>
  <c r="E21" i="24"/>
  <c r="D21" i="24"/>
  <c r="C21" i="24"/>
  <c r="B21" i="24"/>
  <c r="V20" i="24"/>
  <c r="U20" i="24"/>
  <c r="R20" i="24"/>
  <c r="Q20" i="24"/>
  <c r="O20" i="24"/>
  <c r="N20" i="24"/>
  <c r="L20" i="24"/>
  <c r="K20" i="24"/>
  <c r="J20" i="24"/>
  <c r="I20" i="24"/>
  <c r="H20" i="24"/>
  <c r="G20" i="24"/>
  <c r="F20" i="24"/>
  <c r="E20" i="24"/>
  <c r="D20" i="24"/>
  <c r="C20" i="24"/>
  <c r="B20" i="24"/>
  <c r="V19" i="24"/>
  <c r="U19" i="24"/>
  <c r="R19" i="24"/>
  <c r="Q19" i="24"/>
  <c r="O19" i="24"/>
  <c r="N19" i="24"/>
  <c r="L19" i="24"/>
  <c r="K19" i="24"/>
  <c r="J19" i="24"/>
  <c r="I19" i="24"/>
  <c r="H19" i="24"/>
  <c r="G19" i="24"/>
  <c r="F19" i="24"/>
  <c r="E19" i="24"/>
  <c r="D19" i="24"/>
  <c r="C19" i="24"/>
  <c r="B19" i="24"/>
  <c r="V18" i="24"/>
  <c r="U18" i="24"/>
  <c r="R18" i="24"/>
  <c r="Q18" i="24"/>
  <c r="O18" i="24"/>
  <c r="N18" i="24"/>
  <c r="L18" i="24"/>
  <c r="K18" i="24"/>
  <c r="J18" i="24"/>
  <c r="I18" i="24"/>
  <c r="H18" i="24"/>
  <c r="G18" i="24"/>
  <c r="F18" i="24"/>
  <c r="E18" i="24"/>
  <c r="D18" i="24"/>
  <c r="C18" i="24"/>
  <c r="B18" i="24"/>
  <c r="V17" i="24"/>
  <c r="U17" i="24"/>
  <c r="R17" i="24"/>
  <c r="Q17" i="24"/>
  <c r="O17" i="24"/>
  <c r="N17" i="24"/>
  <c r="L17" i="24"/>
  <c r="K17" i="24"/>
  <c r="J17" i="24"/>
  <c r="I17" i="24"/>
  <c r="H17" i="24"/>
  <c r="G17" i="24"/>
  <c r="F17" i="24"/>
  <c r="E17" i="24"/>
  <c r="D17" i="24"/>
  <c r="C17" i="24"/>
  <c r="B17" i="24"/>
  <c r="V16" i="24"/>
  <c r="U16" i="24"/>
  <c r="R16" i="24"/>
  <c r="Q16" i="24"/>
  <c r="O16" i="24"/>
  <c r="N16" i="24"/>
  <c r="L16" i="24"/>
  <c r="K16" i="24"/>
  <c r="J16" i="24"/>
  <c r="I16" i="24"/>
  <c r="H16" i="24"/>
  <c r="G16" i="24"/>
  <c r="F16" i="24"/>
  <c r="E16" i="24"/>
  <c r="D16" i="24"/>
  <c r="C16" i="24"/>
  <c r="B16" i="24"/>
  <c r="V15" i="24"/>
  <c r="U15" i="24"/>
  <c r="R15" i="24"/>
  <c r="Q15" i="24"/>
  <c r="O15" i="24"/>
  <c r="N15" i="24"/>
  <c r="L15" i="24"/>
  <c r="K15" i="24"/>
  <c r="J15" i="24"/>
  <c r="I15" i="24"/>
  <c r="H15" i="24"/>
  <c r="G15" i="24"/>
  <c r="F15" i="24"/>
  <c r="E15" i="24"/>
  <c r="D15" i="24"/>
  <c r="C15" i="24"/>
  <c r="B15" i="24"/>
  <c r="V12" i="24"/>
  <c r="U12" i="24"/>
  <c r="R12" i="24"/>
  <c r="Q12" i="24"/>
  <c r="O12" i="24"/>
  <c r="N12" i="24"/>
  <c r="L12" i="24"/>
  <c r="K12" i="24"/>
  <c r="J12" i="24"/>
  <c r="I12" i="24"/>
  <c r="H12" i="24"/>
  <c r="G12" i="24"/>
  <c r="F12" i="24"/>
  <c r="E12" i="24"/>
  <c r="D12" i="24"/>
  <c r="C12" i="24"/>
  <c r="B12" i="24"/>
  <c r="V11" i="24"/>
  <c r="U11" i="24"/>
  <c r="R11" i="24"/>
  <c r="Q11" i="24"/>
  <c r="O11" i="24"/>
  <c r="N11" i="24"/>
  <c r="L11" i="24"/>
  <c r="K11" i="24"/>
  <c r="J11" i="24"/>
  <c r="I11" i="24"/>
  <c r="H11" i="24"/>
  <c r="G11" i="24"/>
  <c r="F11" i="24"/>
  <c r="E11" i="24"/>
  <c r="D11" i="24"/>
  <c r="C11" i="24"/>
  <c r="B11" i="24"/>
  <c r="V10" i="24"/>
  <c r="U10" i="24"/>
  <c r="R10" i="24"/>
  <c r="Q10" i="24"/>
  <c r="O10" i="24"/>
  <c r="N10" i="24"/>
  <c r="L10" i="24"/>
  <c r="K10" i="24"/>
  <c r="J10" i="24"/>
  <c r="I10" i="24"/>
  <c r="H10" i="24"/>
  <c r="G10" i="24"/>
  <c r="F10" i="24"/>
  <c r="E10" i="24"/>
  <c r="D10" i="24"/>
  <c r="C10" i="24"/>
  <c r="B10" i="24"/>
  <c r="V9" i="24"/>
  <c r="U9" i="24"/>
  <c r="R9" i="24"/>
  <c r="Q9" i="24"/>
  <c r="O9" i="24"/>
  <c r="N9" i="24"/>
  <c r="L9" i="24"/>
  <c r="K9" i="24"/>
  <c r="E9" i="24"/>
  <c r="D9" i="24"/>
  <c r="C9" i="24"/>
  <c r="B9" i="24"/>
  <c r="N2" i="11"/>
  <c r="N3" i="11"/>
  <c r="N4" i="11"/>
  <c r="H5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L19" i="11"/>
  <c r="N19" i="11"/>
  <c r="O20" i="11"/>
  <c r="N21" i="11"/>
  <c r="H22" i="11"/>
  <c r="N22" i="11"/>
  <c r="O22" i="11"/>
  <c r="H23" i="11"/>
  <c r="N23" i="11"/>
  <c r="O23" i="11"/>
  <c r="H24" i="11"/>
  <c r="L24" i="11"/>
  <c r="L25" i="11"/>
  <c r="O25" i="11"/>
  <c r="L27" i="11"/>
  <c r="K5" i="14"/>
  <c r="L5" i="14"/>
  <c r="M5" i="14"/>
  <c r="N5" i="14"/>
  <c r="U5" i="14"/>
  <c r="Z5" i="14"/>
  <c r="AA5" i="14"/>
  <c r="K6" i="14"/>
  <c r="L6" i="14"/>
  <c r="M6" i="14"/>
  <c r="N6" i="14"/>
  <c r="U6" i="14"/>
  <c r="Z6" i="14"/>
  <c r="AA6" i="14"/>
  <c r="K7" i="14"/>
  <c r="L7" i="14"/>
  <c r="M7" i="14"/>
  <c r="N7" i="14"/>
  <c r="U7" i="14"/>
  <c r="Z7" i="14"/>
  <c r="AA7" i="14"/>
  <c r="K8" i="14"/>
  <c r="L8" i="14"/>
  <c r="M8" i="14"/>
  <c r="N8" i="14"/>
  <c r="Z8" i="14"/>
  <c r="AA8" i="14"/>
  <c r="K9" i="14"/>
  <c r="L9" i="14"/>
  <c r="M9" i="14"/>
  <c r="N9" i="14"/>
  <c r="Z9" i="14"/>
  <c r="AA9" i="14"/>
  <c r="K10" i="14"/>
  <c r="L10" i="14"/>
  <c r="M10" i="14"/>
  <c r="N10" i="14"/>
  <c r="Z10" i="14"/>
  <c r="AA10" i="14"/>
  <c r="AC10" i="14"/>
  <c r="AD10" i="14"/>
  <c r="Z11" i="14"/>
  <c r="AC11" i="14"/>
  <c r="AD11" i="14"/>
  <c r="B9" i="17"/>
  <c r="V45" i="17" s="1"/>
  <c r="C9" i="17"/>
  <c r="D9" i="17"/>
  <c r="E9" i="17"/>
  <c r="F9" i="17"/>
  <c r="G9" i="17"/>
  <c r="W9" i="17" s="1"/>
  <c r="C28" i="17" s="1"/>
  <c r="H9" i="17"/>
  <c r="I9" i="17"/>
  <c r="J9" i="17"/>
  <c r="X9" i="17" s="1"/>
  <c r="K9" i="17"/>
  <c r="L9" i="17"/>
  <c r="M9" i="17" s="1"/>
  <c r="N9" i="17"/>
  <c r="O9" i="17"/>
  <c r="T9" i="17" s="1"/>
  <c r="S9" i="17" s="1"/>
  <c r="Q9" i="17"/>
  <c r="R9" i="17"/>
  <c r="U9" i="17"/>
  <c r="V9" i="17"/>
  <c r="AA9" i="17" s="1"/>
  <c r="D28" i="17"/>
  <c r="J28" i="17"/>
  <c r="K28" i="17"/>
  <c r="Q28" i="17"/>
  <c r="V28" i="17"/>
  <c r="C45" i="17"/>
  <c r="J45" i="17"/>
  <c r="K45" i="17"/>
  <c r="Q45" i="17"/>
  <c r="A50" i="17"/>
  <c r="B50" i="17"/>
  <c r="A51" i="17"/>
  <c r="B51" i="17"/>
  <c r="A52" i="17"/>
  <c r="B52" i="17"/>
  <c r="G52" i="17"/>
  <c r="H52" i="17"/>
  <c r="J52" i="17"/>
  <c r="K52" i="17"/>
  <c r="A53" i="17"/>
  <c r="B53" i="17"/>
  <c r="G53" i="17"/>
  <c r="H53" i="17"/>
  <c r="J53" i="17"/>
  <c r="K53" i="17"/>
  <c r="A54" i="17"/>
  <c r="B54" i="17"/>
  <c r="G54" i="17"/>
  <c r="H54" i="17"/>
  <c r="J54" i="17"/>
  <c r="K54" i="17"/>
  <c r="A55" i="17"/>
  <c r="B55" i="17"/>
  <c r="G55" i="17"/>
  <c r="H55" i="17"/>
  <c r="J55" i="17"/>
  <c r="K55" i="17"/>
  <c r="A56" i="17"/>
  <c r="B56" i="17"/>
  <c r="G56" i="17"/>
  <c r="H56" i="17"/>
  <c r="J56" i="17"/>
  <c r="K56" i="17"/>
  <c r="A57" i="17"/>
  <c r="B57" i="17"/>
  <c r="G57" i="17"/>
  <c r="H57" i="17"/>
  <c r="J57" i="17"/>
  <c r="K57" i="17"/>
  <c r="A58" i="17"/>
  <c r="B58" i="17"/>
  <c r="G58" i="17"/>
  <c r="H58" i="17"/>
  <c r="J58" i="17"/>
  <c r="K58" i="17"/>
  <c r="A59" i="17"/>
  <c r="B59" i="17"/>
  <c r="G59" i="17"/>
  <c r="H59" i="17"/>
  <c r="J59" i="17"/>
  <c r="K59" i="17"/>
  <c r="A60" i="17"/>
  <c r="B60" i="17"/>
  <c r="G60" i="17"/>
  <c r="H60" i="17"/>
  <c r="J60" i="17"/>
  <c r="K60" i="17"/>
  <c r="A61" i="17"/>
  <c r="B61" i="17"/>
  <c r="G61" i="17"/>
  <c r="H61" i="17"/>
  <c r="J61" i="17"/>
  <c r="K61" i="17"/>
  <c r="A62" i="17"/>
  <c r="B62" i="17"/>
  <c r="G62" i="17"/>
  <c r="H62" i="17"/>
  <c r="J62" i="17"/>
  <c r="K62" i="17"/>
  <c r="A63" i="17"/>
  <c r="B63" i="17"/>
  <c r="J63" i="17"/>
  <c r="K63" i="17"/>
  <c r="A64" i="17"/>
  <c r="B64" i="17"/>
  <c r="J64" i="17"/>
  <c r="K64" i="17"/>
  <c r="A65" i="17"/>
  <c r="B65" i="17"/>
  <c r="J65" i="17"/>
  <c r="K65" i="17"/>
  <c r="A66" i="17"/>
  <c r="B66" i="17"/>
  <c r="J66" i="17"/>
  <c r="K66" i="17"/>
  <c r="A67" i="17"/>
  <c r="B67" i="17"/>
  <c r="H67" i="17"/>
  <c r="J67" i="17"/>
  <c r="K67" i="17"/>
  <c r="A68" i="17"/>
  <c r="B68" i="17"/>
  <c r="H68" i="17"/>
  <c r="J68" i="17"/>
  <c r="K68" i="17"/>
  <c r="A69" i="17"/>
  <c r="B69" i="17"/>
  <c r="H69" i="17"/>
  <c r="A70" i="17"/>
  <c r="B70" i="17"/>
  <c r="H70" i="17"/>
  <c r="A71" i="17"/>
  <c r="B71" i="17"/>
  <c r="H71" i="17"/>
  <c r="A72" i="17"/>
  <c r="B72" i="17"/>
  <c r="H72" i="17"/>
  <c r="J72" i="17"/>
  <c r="K72" i="17"/>
  <c r="A73" i="17"/>
  <c r="B73" i="17"/>
  <c r="H73" i="17"/>
  <c r="J73" i="17"/>
  <c r="K73" i="17"/>
  <c r="A74" i="17"/>
  <c r="B74" i="17"/>
  <c r="H74" i="17"/>
  <c r="J74" i="17"/>
  <c r="K74" i="17"/>
  <c r="A75" i="17"/>
  <c r="B75" i="17"/>
  <c r="H75" i="17"/>
  <c r="J75" i="17"/>
  <c r="K75" i="17" s="1"/>
  <c r="B76" i="17"/>
  <c r="H76" i="17"/>
  <c r="J76" i="17"/>
  <c r="K76" i="17" s="1"/>
  <c r="B77" i="17"/>
  <c r="H77" i="17"/>
  <c r="J77" i="17"/>
  <c r="K77" i="17" s="1"/>
  <c r="B78" i="17"/>
  <c r="J78" i="17"/>
  <c r="K78" i="17"/>
  <c r="B79" i="17"/>
  <c r="J79" i="17"/>
  <c r="K79" i="17"/>
  <c r="B80" i="17"/>
  <c r="G80" i="17"/>
  <c r="H80" i="17"/>
  <c r="J80" i="17"/>
  <c r="K80" i="17"/>
  <c r="B81" i="17"/>
  <c r="G81" i="17"/>
  <c r="H81" i="17"/>
  <c r="J81" i="17"/>
  <c r="K81" i="17" s="1"/>
  <c r="B82" i="17"/>
  <c r="G82" i="17"/>
  <c r="H82" i="17"/>
  <c r="J82" i="17"/>
  <c r="K82" i="17"/>
  <c r="G83" i="17"/>
  <c r="H83" i="17"/>
  <c r="J83" i="17"/>
  <c r="K83" i="17"/>
  <c r="G84" i="17"/>
  <c r="H84" i="17"/>
  <c r="J84" i="17"/>
  <c r="K84" i="17"/>
  <c r="G85" i="17"/>
  <c r="H85" i="17"/>
  <c r="G86" i="17"/>
  <c r="H86" i="17"/>
  <c r="G87" i="17"/>
  <c r="H87" i="17"/>
  <c r="G88" i="17"/>
  <c r="H88" i="17"/>
  <c r="J88" i="17"/>
  <c r="K88" i="17"/>
  <c r="G89" i="17"/>
  <c r="H89" i="17"/>
  <c r="J89" i="17"/>
  <c r="K89" i="17"/>
  <c r="G90" i="17"/>
  <c r="H90" i="17"/>
  <c r="J90" i="17"/>
  <c r="K90" i="17"/>
  <c r="G91" i="17"/>
  <c r="H91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T9" i="24" l="1"/>
  <c r="D45" i="17"/>
  <c r="P9" i="17"/>
  <c r="Z9" i="17"/>
  <c r="AC9" i="17"/>
  <c r="AD9" i="17"/>
  <c r="AB9" i="17"/>
  <c r="M9" i="24"/>
  <c r="Y9" i="24" s="1"/>
  <c r="Y9" i="17"/>
  <c r="T14" i="24"/>
  <c r="S14" i="24" s="1"/>
  <c r="T13" i="24"/>
  <c r="W13" i="24" s="1"/>
  <c r="W14" i="24"/>
  <c r="X14" i="24" s="1"/>
  <c r="M13" i="24"/>
  <c r="Y13" i="24" s="1"/>
  <c r="AA14" i="24"/>
  <c r="AC14" i="24"/>
  <c r="AA13" i="24"/>
  <c r="Y14" i="24"/>
  <c r="Z14" i="24" s="1"/>
  <c r="M22" i="24"/>
  <c r="Y22" i="24" s="1"/>
  <c r="T17" i="24"/>
  <c r="S17" i="24" s="1"/>
  <c r="T22" i="24"/>
  <c r="S22" i="24" s="1"/>
  <c r="T15" i="24"/>
  <c r="P15" i="24" s="1"/>
  <c r="M19" i="24"/>
  <c r="Y19" i="24" s="1"/>
  <c r="T11" i="24"/>
  <c r="S11" i="24" s="1"/>
  <c r="T18" i="24"/>
  <c r="S18" i="24" s="1"/>
  <c r="M15" i="24"/>
  <c r="Y15" i="24" s="1"/>
  <c r="AA15" i="24"/>
  <c r="P22" i="24"/>
  <c r="M12" i="24"/>
  <c r="Y12" i="24" s="1"/>
  <c r="T21" i="24"/>
  <c r="S21" i="24" s="1"/>
  <c r="T12" i="24"/>
  <c r="S12" i="24" s="1"/>
  <c r="AA18" i="24"/>
  <c r="M18" i="24"/>
  <c r="AC18" i="24" s="1"/>
  <c r="AD18" i="24" s="1"/>
  <c r="AD17" i="24"/>
  <c r="T19" i="24"/>
  <c r="W19" i="24" s="1"/>
  <c r="S19" i="24"/>
  <c r="P19" i="24"/>
  <c r="P18" i="24"/>
  <c r="T10" i="24"/>
  <c r="S10" i="24" s="1"/>
  <c r="T16" i="24"/>
  <c r="S16" i="24" s="1"/>
  <c r="W17" i="24"/>
  <c r="AB17" i="24" s="1"/>
  <c r="M11" i="24"/>
  <c r="AC11" i="24" s="1"/>
  <c r="M17" i="24"/>
  <c r="Y17" i="24" s="1"/>
  <c r="M21" i="24"/>
  <c r="AC21" i="24" s="1"/>
  <c r="T20" i="24"/>
  <c r="S20" i="24" s="1"/>
  <c r="M10" i="24"/>
  <c r="Y10" i="24" s="1"/>
  <c r="M16" i="24"/>
  <c r="AC16" i="24" s="1"/>
  <c r="P17" i="24"/>
  <c r="W18" i="24"/>
  <c r="AB18" i="24" s="1"/>
  <c r="M20" i="24"/>
  <c r="Y20" i="24" s="1"/>
  <c r="P21" i="24"/>
  <c r="W9" i="24"/>
  <c r="AD10" i="24"/>
  <c r="H4" i="23"/>
  <c r="AA17" i="24"/>
  <c r="Z9" i="24" l="1"/>
  <c r="S9" i="24"/>
  <c r="AB9" i="24"/>
  <c r="AB13" i="24"/>
  <c r="X13" i="24"/>
  <c r="Z13" i="24"/>
  <c r="AC13" i="24"/>
  <c r="P12" i="24"/>
  <c r="AB14" i="24"/>
  <c r="W10" i="24"/>
  <c r="AB10" i="24" s="1"/>
  <c r="Z17" i="24"/>
  <c r="P13" i="24"/>
  <c r="S13" i="24"/>
  <c r="P16" i="24"/>
  <c r="X18" i="24"/>
  <c r="AC22" i="24"/>
  <c r="W15" i="24"/>
  <c r="AB15" i="24" s="1"/>
  <c r="P14" i="24"/>
  <c r="Y16" i="24"/>
  <c r="AC12" i="24"/>
  <c r="AC19" i="24"/>
  <c r="AD19" i="24" s="1"/>
  <c r="AB19" i="24"/>
  <c r="X19" i="24"/>
  <c r="Z19" i="24"/>
  <c r="W11" i="24"/>
  <c r="AA11" i="24" s="1"/>
  <c r="P11" i="24"/>
  <c r="S15" i="24"/>
  <c r="AC10" i="24"/>
  <c r="W22" i="24"/>
  <c r="Z15" i="24"/>
  <c r="Y11" i="24"/>
  <c r="AC17" i="24"/>
  <c r="W21" i="24"/>
  <c r="X21" i="24" s="1"/>
  <c r="AA19" i="24"/>
  <c r="W12" i="24"/>
  <c r="Z12" i="24" s="1"/>
  <c r="AC15" i="24"/>
  <c r="AD15" i="24" s="1"/>
  <c r="P20" i="24"/>
  <c r="AA22" i="24"/>
  <c r="Y18" i="24"/>
  <c r="Z18" i="24" s="1"/>
  <c r="AA10" i="24"/>
  <c r="X17" i="24"/>
  <c r="AC20" i="24"/>
  <c r="W20" i="24"/>
  <c r="AA20" i="24" s="1"/>
  <c r="Y21" i="24"/>
  <c r="Z21" i="24" s="1"/>
  <c r="W16" i="24"/>
  <c r="AA16" i="24" s="1"/>
  <c r="P10" i="24"/>
  <c r="AC9" i="24"/>
  <c r="P9" i="24"/>
  <c r="X10" i="24" l="1"/>
  <c r="X15" i="24"/>
  <c r="Z10" i="24"/>
  <c r="X9" i="24"/>
  <c r="AA9" i="24"/>
  <c r="AD9" i="24"/>
  <c r="Z11" i="24"/>
  <c r="AB22" i="24"/>
  <c r="AD22" i="24" s="1"/>
  <c r="X22" i="24"/>
  <c r="AB11" i="24"/>
  <c r="AD11" i="24" s="1"/>
  <c r="X11" i="24"/>
  <c r="Z22" i="24"/>
  <c r="Z16" i="24"/>
  <c r="X12" i="24"/>
  <c r="AA12" i="24"/>
  <c r="AB12" i="24"/>
  <c r="AD12" i="24" s="1"/>
  <c r="AB21" i="24"/>
  <c r="AD21" i="24" s="1"/>
  <c r="AA21" i="24"/>
  <c r="X20" i="24"/>
  <c r="AB20" i="24"/>
  <c r="AD20" i="24" s="1"/>
  <c r="Z20" i="24"/>
  <c r="X16" i="24"/>
  <c r="AB16" i="24"/>
  <c r="AD16" i="24" s="1"/>
</calcChain>
</file>

<file path=xl/sharedStrings.xml><?xml version="1.0" encoding="utf-8"?>
<sst xmlns="http://schemas.openxmlformats.org/spreadsheetml/2006/main" count="749" uniqueCount="454">
  <si>
    <t>MW</t>
  </si>
  <si>
    <t>Atomoxetin</t>
  </si>
  <si>
    <t>Midazolam</t>
  </si>
  <si>
    <t>AUC = AUC for drug</t>
  </si>
  <si>
    <t>(µM)</t>
  </si>
  <si>
    <t>(mg)</t>
  </si>
  <si>
    <t>Qh</t>
  </si>
  <si>
    <t>fu</t>
  </si>
  <si>
    <t>CYP2D6</t>
  </si>
  <si>
    <t>Enzyme</t>
  </si>
  <si>
    <t>Buspirone</t>
  </si>
  <si>
    <t>Sildenafil</t>
  </si>
  <si>
    <t>Cyclosporine</t>
  </si>
  <si>
    <t>Felodipine</t>
  </si>
  <si>
    <t>Triazolam</t>
  </si>
  <si>
    <t>Simvastatin</t>
  </si>
  <si>
    <t>Nifedipine</t>
  </si>
  <si>
    <t>Quinidine</t>
  </si>
  <si>
    <t>Alprazolam</t>
  </si>
  <si>
    <t>Zolpidem</t>
  </si>
  <si>
    <t>Ernest II et al., DMD 2004</t>
  </si>
  <si>
    <t>Trazodone</t>
  </si>
  <si>
    <r>
      <t>f</t>
    </r>
    <r>
      <rPr>
        <b/>
        <vertAlign val="subscript"/>
        <sz val="11"/>
        <rFont val="Arial"/>
        <family val="2"/>
      </rPr>
      <t>mCYP3A4</t>
    </r>
  </si>
  <si>
    <t>R-Metoprolol</t>
  </si>
  <si>
    <t>S-Metoprolol</t>
  </si>
  <si>
    <t>Paroxetine</t>
  </si>
  <si>
    <t>Perphenazine</t>
  </si>
  <si>
    <t>Risperidone</t>
  </si>
  <si>
    <t>Dose</t>
  </si>
  <si>
    <t>Substrate</t>
  </si>
  <si>
    <t>Inhibitor</t>
  </si>
  <si>
    <t xml:space="preserve">High hepatic extraction </t>
  </si>
  <si>
    <t>(implies high fu)</t>
  </si>
  <si>
    <t>Metabolized by single enz</t>
  </si>
  <si>
    <t>No alternative elim route</t>
  </si>
  <si>
    <t>high [I]/Ki</t>
  </si>
  <si>
    <t>low capacity</t>
  </si>
  <si>
    <t>Low Km (high affinity)</t>
  </si>
  <si>
    <t>Substrate (victim)</t>
  </si>
  <si>
    <t>Inhibitor (perpetrator)</t>
  </si>
  <si>
    <t>Param</t>
  </si>
  <si>
    <t>Units</t>
  </si>
  <si>
    <t>Value</t>
  </si>
  <si>
    <t>Ref</t>
  </si>
  <si>
    <t>Iinlet</t>
  </si>
  <si>
    <t>Qpv</t>
  </si>
  <si>
    <t>Isys</t>
  </si>
  <si>
    <t>t</t>
  </si>
  <si>
    <t>Summation over multiple CYPs and inhibitors</t>
  </si>
  <si>
    <t>Factors contributing to high DDI risk</t>
  </si>
  <si>
    <t>References</t>
  </si>
  <si>
    <t>Galetin A et al, Expert Opin Drug Metab Toxicol (2008) 4 (7): 909-22</t>
  </si>
  <si>
    <t>Qvilli</t>
  </si>
  <si>
    <t>Obach RS, Curr Opin Drug Discov Dev (2009) 12 (1): 81-9</t>
  </si>
  <si>
    <t>Ito K et al, Br J Clin Pharmacol (2003) 57 (4): 473-486</t>
  </si>
  <si>
    <t>Davies B et al, PharmRes (1993) 10 (7):1093-5</t>
  </si>
  <si>
    <t>Difference between the template predictions and Simcyp</t>
  </si>
  <si>
    <t>The predictions from the template should match those reported for steady state in Simcyp.</t>
  </si>
  <si>
    <r>
      <t>For Cyp 3A4:</t>
    </r>
    <r>
      <rPr>
        <sz val="10"/>
        <rFont val="Arial"/>
        <family val="2"/>
      </rPr>
      <t xml:space="preserve"> test atleast with 2 different substrates. Eg, midazolam and simvastatin</t>
    </r>
  </si>
  <si>
    <t>hepatic</t>
  </si>
  <si>
    <t>intestinal</t>
  </si>
  <si>
    <t>Diltiazem</t>
  </si>
  <si>
    <t>Einolf HJ, Xenobiotica (2007) 37 (10-11): 1257-94</t>
  </si>
  <si>
    <t>(min-1)</t>
  </si>
  <si>
    <t>Venkatakrishnan et al, DMD (2005) 33: 845-52</t>
  </si>
  <si>
    <t>Reversible inhibitor</t>
  </si>
  <si>
    <t>Galetin et al., DMD (2006) 34: 166-75</t>
  </si>
  <si>
    <t>Mayhew et al., DMD 2000; Wang et al., DMD 2004;</t>
  </si>
  <si>
    <t>Simcyp communication</t>
  </si>
  <si>
    <t>(h)</t>
  </si>
  <si>
    <t>mL/min</t>
  </si>
  <si>
    <t>(mL/min)</t>
  </si>
  <si>
    <t>Qpv = Portal vein blood flow</t>
  </si>
  <si>
    <t>Qvilli = Villous blood flow</t>
  </si>
  <si>
    <t>B</t>
  </si>
  <si>
    <t>ID</t>
  </si>
  <si>
    <t>(µl/min/pmol)</t>
  </si>
  <si>
    <t xml:space="preserve">hepatic </t>
  </si>
  <si>
    <t>value</t>
  </si>
  <si>
    <t>Simcyp</t>
  </si>
  <si>
    <t>CYP Enzyme</t>
  </si>
  <si>
    <t>1A2</t>
  </si>
  <si>
    <t>2C8</t>
  </si>
  <si>
    <t>2C9</t>
  </si>
  <si>
    <t>2C19</t>
  </si>
  <si>
    <t>2D6</t>
  </si>
  <si>
    <t>3A4</t>
  </si>
  <si>
    <t>Unlike the template that uses constant (static) inhibitor concentration,  Simcyp predictions use dynamic inhibitor concentrations, which is more realistic.</t>
  </si>
  <si>
    <t>Evaluation of risk assumes greater importance for drugs with narrow therapeutic window (high dose drugs with low MTD)</t>
  </si>
  <si>
    <t>As a rule of thumb a compound with Ki&lt;1 is likely to be a potent inhibitor.</t>
  </si>
  <si>
    <t>http://www.fda.gov/cder/drug/drugInteractions/tableSubstrates.htm</t>
  </si>
  <si>
    <t>CYP3A4</t>
  </si>
  <si>
    <t>Dose (mg)</t>
  </si>
  <si>
    <t>MBI/TDI</t>
  </si>
  <si>
    <t>Paine MF, 2006, DMD</t>
  </si>
  <si>
    <t>Clint</t>
  </si>
  <si>
    <t>µL/min/mg protein</t>
  </si>
  <si>
    <t>t1/2deg (h)</t>
  </si>
  <si>
    <t>Median CYP abundance (pmol CYP/mg protein)</t>
  </si>
  <si>
    <t>ISEF-Cypex HR</t>
  </si>
  <si>
    <t>liver</t>
  </si>
  <si>
    <t>Gene</t>
  </si>
  <si>
    <t>Aliases</t>
  </si>
  <si>
    <t>Tissue</t>
  </si>
  <si>
    <t>Inducer</t>
  </si>
  <si>
    <t xml:space="preserve">ABCB1 </t>
  </si>
  <si>
    <t>P-gp, MDR1</t>
  </si>
  <si>
    <t>intestine, liver, kidney, brain, placenta, adrenal, testes</t>
  </si>
  <si>
    <t>digoxin, fexofenadine, indinavir, vincristine, colchicine. topotecan, paclitaxel</t>
  </si>
  <si>
    <t>ritonavir,</t>
  </si>
  <si>
    <t>cyclosporine,</t>
  </si>
  <si>
    <t>verapamil, erythromycin, ketocoanzole, itraconazole, quinidine, elacridar (GF120918) LY335979, valspodar (PSC 833)</t>
  </si>
  <si>
    <t>rifampin, St John’s Wort</t>
  </si>
  <si>
    <t xml:space="preserve">ABCB4 </t>
  </si>
  <si>
    <t>MDR3</t>
  </si>
  <si>
    <t>digoxin, paclitaxel, vinblastine</t>
  </si>
  <si>
    <t xml:space="preserve">ABCB11 </t>
  </si>
  <si>
    <t>BSEP</t>
  </si>
  <si>
    <t>vinblastine</t>
  </si>
  <si>
    <t xml:space="preserve">ABCC1 </t>
  </si>
  <si>
    <t>MRP1</t>
  </si>
  <si>
    <t>intestine, liver, kidney, brain</t>
  </si>
  <si>
    <t>adefovir, indinavir</t>
  </si>
  <si>
    <t xml:space="preserve">ABCC2 </t>
  </si>
  <si>
    <t>MRP2, CMOAT</t>
  </si>
  <si>
    <t>indinavir, cisplatin,</t>
  </si>
  <si>
    <t>cyclosporine</t>
  </si>
  <si>
    <t xml:space="preserve">ABCC3 </t>
  </si>
  <si>
    <t>MRP3, CMOAT2</t>
  </si>
  <si>
    <t>intestine, liver, kidney, placenta, adrenal</t>
  </si>
  <si>
    <t>etoposide, methotrexate, tenoposide</t>
  </si>
  <si>
    <t xml:space="preserve">ABCC4 </t>
  </si>
  <si>
    <t>MRP4</t>
  </si>
  <si>
    <t xml:space="preserve">ABCC5 </t>
  </si>
  <si>
    <t>MRP5</t>
  </si>
  <si>
    <t xml:space="preserve">ABCC6 </t>
  </si>
  <si>
    <t>MRP6</t>
  </si>
  <si>
    <t>liver, kidney</t>
  </si>
  <si>
    <t>cisplatin, daunorubicin</t>
  </si>
  <si>
    <t xml:space="preserve">ABCG2 </t>
  </si>
  <si>
    <t>BCRP</t>
  </si>
  <si>
    <t>intestine, liver, breast, placenta</t>
  </si>
  <si>
    <t>daunorubicin, doxorubicin,</t>
  </si>
  <si>
    <t>topotecan, rosuvastatin, sulfasalazine</t>
  </si>
  <si>
    <t>elacridar (GF120918)</t>
  </si>
  <si>
    <t xml:space="preserve">SLCO1B1 </t>
  </si>
  <si>
    <t>OATP1B1, OATP-C</t>
  </si>
  <si>
    <t>OATP2</t>
  </si>
  <si>
    <t>rifampin, rosuvastatin, methotrexate, pravastatin, thyroxine</t>
  </si>
  <si>
    <t>rifampin</t>
  </si>
  <si>
    <t xml:space="preserve">SLCO1B3 </t>
  </si>
  <si>
    <t>OATP1B3, OATP8,</t>
  </si>
  <si>
    <t>digoxin, methotrexate, rifampin,</t>
  </si>
  <si>
    <t xml:space="preserve">SLCO2B1 </t>
  </si>
  <si>
    <t>SLC21A9, OATP-B</t>
  </si>
  <si>
    <t>pravastatin</t>
  </si>
  <si>
    <t xml:space="preserve">SLC10A1 </t>
  </si>
  <si>
    <t>NTCP</t>
  </si>
  <si>
    <t>liver, pancreas</t>
  </si>
  <si>
    <t>rosuvastatin</t>
  </si>
  <si>
    <t xml:space="preserve">SLC10A2 </t>
  </si>
  <si>
    <t>ASBT</t>
  </si>
  <si>
    <t>ileum, kidney, biliary tract</t>
  </si>
  <si>
    <t xml:space="preserve">SLC15A1 </t>
  </si>
  <si>
    <t>PEPT1</t>
  </si>
  <si>
    <t>intestine, kidney</t>
  </si>
  <si>
    <t>ampicillin, amoxicillin, captopril, valacyclovir</t>
  </si>
  <si>
    <t xml:space="preserve">SLC15A2 </t>
  </si>
  <si>
    <t>PEPT2</t>
  </si>
  <si>
    <t>kidney</t>
  </si>
  <si>
    <t xml:space="preserve">SLC22A1 </t>
  </si>
  <si>
    <t>OCT-1</t>
  </si>
  <si>
    <t>acyclovir, amantadine, desipramine, ganciclovir</t>
  </si>
  <si>
    <t>metformin</t>
  </si>
  <si>
    <t>disopyramide, midazolam, phenformin, phenoxy-benzamine quinidine,</t>
  </si>
  <si>
    <t>quinine, ritonavir, verapamil</t>
  </si>
  <si>
    <t xml:space="preserve">SLC22A2 </t>
  </si>
  <si>
    <t>OCT2</t>
  </si>
  <si>
    <t>kidney, brain</t>
  </si>
  <si>
    <t>amantadine,</t>
  </si>
  <si>
    <t>cimetidine, memantine</t>
  </si>
  <si>
    <t>desipramine, phenoxy-benzamine quinine</t>
  </si>
  <si>
    <t xml:space="preserve">SLC22A3 </t>
  </si>
  <si>
    <t>OCT3</t>
  </si>
  <si>
    <t>skeletal muscle, liver, placenta, kidney, heart</t>
  </si>
  <si>
    <t>cimetidine</t>
  </si>
  <si>
    <t>desipramine, prazosin, phenoxy-benzamine</t>
  </si>
  <si>
    <t xml:space="preserve">SLC22A4 </t>
  </si>
  <si>
    <t>OCTN1</t>
  </si>
  <si>
    <t>kidney, skeletal muscle, placenta, prostate, heart</t>
  </si>
  <si>
    <t>quinidine, verapamil</t>
  </si>
  <si>
    <t xml:space="preserve">SLC22A5 </t>
  </si>
  <si>
    <t>OCTN2</t>
  </si>
  <si>
    <t>kidney, skeletal muscle, prostate, lung, pancreas, heart, small intestine, liver</t>
  </si>
  <si>
    <t>quinidien, verapamil</t>
  </si>
  <si>
    <t xml:space="preserve">SLC22A6 </t>
  </si>
  <si>
    <t>OAT1</t>
  </si>
  <si>
    <t>acyclovir, adefovir,</t>
  </si>
  <si>
    <t>methotrexate, zidovudine</t>
  </si>
  <si>
    <t>probenecid, cefadroxil, cefamandole, cefazolin,</t>
  </si>
  <si>
    <t xml:space="preserve">SLC22A7 </t>
  </si>
  <si>
    <t>OAT2</t>
  </si>
  <si>
    <t>zidovudine</t>
  </si>
  <si>
    <t xml:space="preserve">SLC22A8 </t>
  </si>
  <si>
    <t>OAT3</t>
  </si>
  <si>
    <t>cimetidine, methotrexate, zidovudine</t>
  </si>
  <si>
    <t>Galetin A, Expert Opin Drug Metab Toxicol (2008) 4: 909</t>
  </si>
  <si>
    <r>
      <t xml:space="preserve">t </t>
    </r>
    <r>
      <rPr>
        <sz val="11"/>
        <rFont val="Arial"/>
        <family val="2"/>
      </rPr>
      <t>=inhibitor dosing interval</t>
    </r>
  </si>
  <si>
    <t>Summation over multiple CYPs &amp; inhibitors</t>
  </si>
  <si>
    <r>
      <t>AUC</t>
    </r>
    <r>
      <rPr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= AUC when inhibitor is present</t>
    </r>
  </si>
  <si>
    <r>
      <t>I</t>
    </r>
    <r>
      <rPr>
        <vertAlign val="subscript"/>
        <sz val="11"/>
        <rFont val="Arial"/>
        <family val="2"/>
      </rPr>
      <t>u</t>
    </r>
    <r>
      <rPr>
        <sz val="11"/>
        <rFont val="Arial"/>
        <family val="2"/>
      </rPr>
      <t xml:space="preserve"> = unbound inhibitor concentration 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</si>
  <si>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unbound inhibitor constant</t>
    </r>
  </si>
  <si>
    <r>
      <t>K</t>
    </r>
    <r>
      <rPr>
        <i/>
        <vertAlign val="sub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>,u</t>
    </r>
    <r>
      <rPr>
        <sz val="11"/>
        <rFont val="Arial"/>
        <family val="2"/>
      </rPr>
      <t xml:space="preserve"> = unb inhibitor conc at 50% k</t>
    </r>
    <r>
      <rPr>
        <vertAlign val="subscript"/>
        <sz val="11"/>
        <rFont val="Arial"/>
        <family val="2"/>
      </rPr>
      <t>inact</t>
    </r>
  </si>
  <si>
    <r>
      <t>k</t>
    </r>
    <r>
      <rPr>
        <vertAlign val="subscript"/>
        <sz val="11"/>
        <rFont val="Arial"/>
        <family val="2"/>
      </rPr>
      <t xml:space="preserve">inact </t>
    </r>
    <r>
      <rPr>
        <sz val="11"/>
        <rFont val="Arial"/>
        <family val="2"/>
      </rPr>
      <t>= maximal enz inactivation rate const</t>
    </r>
  </si>
  <si>
    <r>
      <t>k</t>
    </r>
    <r>
      <rPr>
        <i/>
        <vertAlign val="subscript"/>
        <sz val="11"/>
        <rFont val="Arial"/>
        <family val="2"/>
      </rPr>
      <t>deg</t>
    </r>
    <r>
      <rPr>
        <sz val="11"/>
        <rFont val="Arial"/>
        <family val="2"/>
      </rPr>
      <t>= endogen deg. rate constant of enz</t>
    </r>
  </si>
  <si>
    <r>
      <t>f</t>
    </r>
    <r>
      <rPr>
        <vertAlign val="subscript"/>
        <sz val="11"/>
        <rFont val="Arial"/>
        <family val="2"/>
      </rPr>
      <t xml:space="preserve">m </t>
    </r>
    <r>
      <rPr>
        <sz val="11"/>
        <rFont val="Arial"/>
        <family val="2"/>
      </rPr>
      <t>= fraction of total elimination due to hepatic metabolism</t>
    </r>
  </si>
  <si>
    <r>
      <t>f</t>
    </r>
    <r>
      <rPr>
        <vertAlign val="subscript"/>
        <sz val="11"/>
        <rFont val="Arial"/>
        <family val="2"/>
      </rPr>
      <t xml:space="preserve">m,CYP </t>
    </r>
    <r>
      <rPr>
        <sz val="11"/>
        <rFont val="Arial"/>
        <family val="2"/>
      </rPr>
      <t>= fr. of total hepatic metabolism due to a specific CYP</t>
    </r>
  </si>
  <si>
    <t>Inhibitor concentrations [2-4]</t>
  </si>
  <si>
    <t>where,</t>
  </si>
  <si>
    <t>*rCYP CLint from CRP</t>
  </si>
  <si>
    <t>Caffeine</t>
  </si>
  <si>
    <t>CYP1A2</t>
  </si>
  <si>
    <t>Clozapine</t>
  </si>
  <si>
    <t>CYP2B6</t>
  </si>
  <si>
    <t>CYP2C19</t>
  </si>
  <si>
    <t>S-mephenytoin</t>
  </si>
  <si>
    <t>Diclofenac</t>
  </si>
  <si>
    <t>CYP2C9</t>
  </si>
  <si>
    <t>bufuralol</t>
  </si>
  <si>
    <t>Desipramine</t>
  </si>
  <si>
    <t>Dextromethorphan</t>
  </si>
  <si>
    <t>Imipramine</t>
  </si>
  <si>
    <t>Chlorzoxazone</t>
  </si>
  <si>
    <t>CYP2E1</t>
  </si>
  <si>
    <t>CYP3A5</t>
  </si>
  <si>
    <t>Brown,H.S. 2005</t>
  </si>
  <si>
    <r>
      <t>[I]max = [I]ss*k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/(1-e</t>
    </r>
    <r>
      <rPr>
        <vertAlign val="superscript"/>
        <sz val="12"/>
        <rFont val="Cambria"/>
        <family val="1"/>
      </rPr>
      <t>-kt</t>
    </r>
    <r>
      <rPr>
        <sz val="12"/>
        <rFont val="Arial"/>
        <family val="2"/>
      </rPr>
      <t>)</t>
    </r>
  </si>
  <si>
    <t>Human physiological parameters: Blood flow rates</t>
  </si>
  <si>
    <t>F</t>
  </si>
  <si>
    <t>Imax</t>
  </si>
  <si>
    <r>
      <t>f</t>
    </r>
    <r>
      <rPr>
        <b/>
        <vertAlign val="subscript"/>
        <sz val="11"/>
        <rFont val="Arial"/>
        <family val="2"/>
      </rPr>
      <t xml:space="preserve">m </t>
    </r>
    <r>
      <rPr>
        <b/>
        <sz val="11"/>
        <rFont val="Arial"/>
        <family val="2"/>
      </rPr>
      <t>(1-fe)</t>
    </r>
  </si>
  <si>
    <r>
      <rPr>
        <b/>
        <sz val="10"/>
        <rFont val="Calibri"/>
        <family val="2"/>
      </rPr>
      <t>τ</t>
    </r>
    <r>
      <rPr>
        <b/>
        <sz val="10"/>
        <rFont val="Arial"/>
        <family val="2"/>
      </rPr>
      <t xml:space="preserve"> (h)</t>
    </r>
  </si>
  <si>
    <t>Ki,u (µM)</t>
  </si>
  <si>
    <t>CYP2C8</t>
  </si>
  <si>
    <t>Erythromycin</t>
  </si>
  <si>
    <t>Ritonavir</t>
  </si>
  <si>
    <t>Verapamil</t>
  </si>
  <si>
    <t>Fluoxetin</t>
  </si>
  <si>
    <t>Ketoconazole</t>
  </si>
  <si>
    <t>Itraconazole</t>
  </si>
  <si>
    <t>Fluvoxamine</t>
  </si>
  <si>
    <t>Sulfaphenazole</t>
  </si>
  <si>
    <t>Warfarin</t>
  </si>
  <si>
    <t>Tolbutamide</t>
  </si>
  <si>
    <t>Phenacetin</t>
  </si>
  <si>
    <t>Theophylline</t>
  </si>
  <si>
    <t>Bupropion</t>
  </si>
  <si>
    <t>Omeprazole</t>
  </si>
  <si>
    <t>TDI</t>
  </si>
  <si>
    <t>Fluoxetin (CYP3A5)</t>
  </si>
  <si>
    <t>CYPs</t>
  </si>
  <si>
    <t>3A5</t>
  </si>
  <si>
    <t>Inhibitors</t>
  </si>
  <si>
    <t>Fluvoxamine (CYP2C9)</t>
  </si>
  <si>
    <t>Select as appropriate</t>
  </si>
  <si>
    <t>Substrates</t>
  </si>
  <si>
    <t>Ketoconazole (CYP2C8)</t>
  </si>
  <si>
    <t>Ketoconazole (CYP3A5)</t>
  </si>
  <si>
    <t>Ketoconazole (CYP3A4)</t>
  </si>
  <si>
    <t>CLICK to select from pull-down menus</t>
  </si>
  <si>
    <t>Alprazolam (CYP3A4)</t>
  </si>
  <si>
    <t>Buspirone (CYP3A4)</t>
  </si>
  <si>
    <t>Cyclosporine (CYP3A4)</t>
  </si>
  <si>
    <t>Felodipine (CYP3A4)</t>
  </si>
  <si>
    <t>Midazolam (CYP3A4)</t>
  </si>
  <si>
    <t>Nifedipine (CYP3A4)</t>
  </si>
  <si>
    <t>Quinidine (CYP3A4)</t>
  </si>
  <si>
    <t>Sildenafil (CYP3A4)</t>
  </si>
  <si>
    <t>Simvastatin (CYP3A4)</t>
  </si>
  <si>
    <t>Trazodone (CYP3A4)</t>
  </si>
  <si>
    <t>Triazolam (CYP3A4)</t>
  </si>
  <si>
    <t>Zolpidem (CYP3A4)</t>
  </si>
  <si>
    <t>Atomoxetin (CYP2D6)</t>
  </si>
  <si>
    <t>Desipramine (CYP2D6)</t>
  </si>
  <si>
    <t>R-Metoprolol (CYP2D6)</t>
  </si>
  <si>
    <t>S-Metoprolol (CYP2D6)</t>
  </si>
  <si>
    <t>Paroxetine (CYP2D6)</t>
  </si>
  <si>
    <t>Perphenazine (CYP2D6)</t>
  </si>
  <si>
    <t>Risperidone (CYP2D6)</t>
  </si>
  <si>
    <t>bufuralol (CYP2D6)</t>
  </si>
  <si>
    <t>Dextromethorphan (CYP2D6)</t>
  </si>
  <si>
    <t>Imipramine (CYP2D6)</t>
  </si>
  <si>
    <t>Caffeine (CYP1A2)</t>
  </si>
  <si>
    <t>Clozapine (CYP1A2)</t>
  </si>
  <si>
    <t>Phenacetin (CYP1A2)</t>
  </si>
  <si>
    <t>Theophylline (CYP1A2)</t>
  </si>
  <si>
    <t>Bupropion (CYP2B6)</t>
  </si>
  <si>
    <t>Chlorzoxazone (CYP2E1)</t>
  </si>
  <si>
    <t>Omeprazole (CYP2C19)</t>
  </si>
  <si>
    <t>S-mephenytoin (CYP2C19)</t>
  </si>
  <si>
    <t>Diclofenac (CYP2C9)</t>
  </si>
  <si>
    <t>Warfarin (CYP2C9)</t>
  </si>
  <si>
    <t>Tolbutamide (CYP2C9)</t>
  </si>
  <si>
    <t>Fluoxetin (CYP2D6)</t>
  </si>
  <si>
    <t>Fluoxetin (CYP2C9)</t>
  </si>
  <si>
    <t>Fluoxetin (CYP3A4)</t>
  </si>
  <si>
    <t>Quinidine (CYP2D6)</t>
  </si>
  <si>
    <t>Fluvoxamine (CYP1A2)</t>
  </si>
  <si>
    <t>Fluvoxamine (CYP2C19)</t>
  </si>
  <si>
    <t>Fluvoxamine (CYP2D6)</t>
  </si>
  <si>
    <t>Fluvoxamine (CYP3A5)</t>
  </si>
  <si>
    <t>Sulfaphenazole (CYP2C9)</t>
  </si>
  <si>
    <t>Sulfaphenazole (CYP2C19)</t>
  </si>
  <si>
    <t>TDI-Diltiazem (CYP3A4)</t>
  </si>
  <si>
    <t>TDI-Diltiazem (CYP3A5)</t>
  </si>
  <si>
    <t>TDI-Erythromycin (CYP3A4)</t>
  </si>
  <si>
    <t>TDI-Erythromycin (CYP3A5)</t>
  </si>
  <si>
    <t>TDI-Ritonavir (CYP3A4)</t>
  </si>
  <si>
    <t>TDI-Verapamil (CYP3A4)</t>
  </si>
  <si>
    <t>TDI-Fluoxetin (CYP3A4)</t>
  </si>
  <si>
    <t>TDI-Paroxetine (CYP2D6)</t>
  </si>
  <si>
    <r>
      <t>ka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</si>
  <si>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</si>
  <si>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inact</t>
    </r>
    <r>
      <rPr>
        <b/>
        <sz val="10"/>
        <rFont val="Arial"/>
        <family val="2"/>
      </rPr>
      <t xml:space="preserve"> (min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</si>
  <si>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CYP substrate (victim of DDI)</t>
  </si>
  <si>
    <t>AUC ratio</t>
  </si>
  <si>
    <t>[I]</t>
  </si>
  <si>
    <t>Current fm*fmcyp</t>
  </si>
  <si>
    <t>Current Fa/Fgut</t>
  </si>
  <si>
    <t>Reversible Inhibitor</t>
  </si>
  <si>
    <t>CYP</t>
  </si>
  <si>
    <t>Human physiological parameters: enzyme turnover rates</t>
  </si>
  <si>
    <t>Type of DDI</t>
  </si>
  <si>
    <t>SENSITIVITY ANALYSIS</t>
  </si>
  <si>
    <r>
      <t>*Enter rCYP CL</t>
    </r>
    <r>
      <rPr>
        <b/>
        <vertAlign val="subscript"/>
        <sz val="10"/>
        <color indexed="9"/>
        <rFont val="Arial"/>
        <family val="2"/>
      </rPr>
      <t>int</t>
    </r>
    <r>
      <rPr>
        <b/>
        <sz val="10"/>
        <color indexed="9"/>
        <rFont val="Arial"/>
        <family val="2"/>
      </rPr>
      <t xml:space="preserve"> values to get f</t>
    </r>
    <r>
      <rPr>
        <b/>
        <vertAlign val="subscript"/>
        <sz val="10"/>
        <color indexed="9"/>
        <rFont val="Arial"/>
        <family val="2"/>
      </rPr>
      <t>m,CYP</t>
    </r>
    <r>
      <rPr>
        <b/>
        <sz val="10"/>
        <color indexed="9"/>
        <rFont val="Arial"/>
        <family val="2"/>
      </rPr>
      <t xml:space="preserve"> and pie chart</t>
    </r>
  </si>
  <si>
    <r>
      <t>Enzyme contribution to total CLint (f</t>
    </r>
    <r>
      <rPr>
        <b/>
        <vertAlign val="subscript"/>
        <sz val="10"/>
        <rFont val="Arial"/>
        <family val="2"/>
      </rPr>
      <t>m,CYP</t>
    </r>
    <r>
      <rPr>
        <b/>
        <sz val="10"/>
        <rFont val="Arial"/>
        <family val="2"/>
      </rPr>
      <t>)</t>
    </r>
  </si>
  <si>
    <t>DDI PREDICTIONS WITH STATIC EQUATIONS</t>
  </si>
  <si>
    <r>
      <t xml:space="preserve">Iss = Iav = Isys = F.Dose /( </t>
    </r>
    <r>
      <rPr>
        <sz val="12"/>
        <rFont val="Symbol"/>
        <family val="1"/>
        <charset val="2"/>
      </rPr>
      <t>t</t>
    </r>
    <r>
      <rPr>
        <sz val="12"/>
        <rFont val="Arial"/>
        <family val="2"/>
      </rPr>
      <t>* CL)</t>
    </r>
  </si>
  <si>
    <r>
      <t>k</t>
    </r>
    <r>
      <rPr>
        <b/>
        <vertAlign val="subscript"/>
        <sz val="9"/>
        <rFont val="Arial"/>
        <family val="2"/>
      </rPr>
      <t>inact</t>
    </r>
  </si>
  <si>
    <r>
      <t>Current I</t>
    </r>
    <r>
      <rPr>
        <vertAlign val="subscript"/>
        <sz val="9"/>
        <rFont val="Arial"/>
        <family val="2"/>
      </rPr>
      <t>u</t>
    </r>
    <r>
      <rPr>
        <sz val="9"/>
        <rFont val="Arial"/>
        <family val="2"/>
      </rPr>
      <t>/Ki</t>
    </r>
  </si>
  <si>
    <r>
      <t>Current k</t>
    </r>
    <r>
      <rPr>
        <vertAlign val="subscript"/>
        <sz val="9"/>
        <rFont val="Arial"/>
        <family val="2"/>
      </rPr>
      <t>inact</t>
    </r>
  </si>
  <si>
    <r>
      <t>I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/Ki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</si>
  <si>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>/K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</si>
  <si>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>m,CYP</t>
    </r>
  </si>
  <si>
    <r>
      <t>Current K</t>
    </r>
    <r>
      <rPr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</si>
  <si>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>I</t>
    </r>
  </si>
  <si>
    <r>
      <t>K</t>
    </r>
    <r>
      <rPr>
        <b/>
        <vertAlign val="subscript"/>
        <sz val="9"/>
        <rFont val="Arial"/>
        <family val="2"/>
      </rPr>
      <t xml:space="preserve">I </t>
    </r>
    <r>
      <rPr>
        <b/>
        <sz val="9"/>
        <rFont val="Arial"/>
        <family val="2"/>
      </rPr>
      <t>(µM) - current value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</si>
  <si>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>gut</t>
    </r>
  </si>
  <si>
    <r>
      <t>Current [I]</t>
    </r>
    <r>
      <rPr>
        <vertAlign val="subscript"/>
        <sz val="9"/>
        <rFont val="Arial"/>
        <family val="2"/>
      </rPr>
      <t>u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</si>
  <si>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</t>
    </r>
  </si>
  <si>
    <r>
      <t>F</t>
    </r>
    <r>
      <rPr>
        <b/>
        <vertAlign val="subscript"/>
        <sz val="9"/>
        <rFont val="Arial"/>
        <family val="2"/>
      </rPr>
      <t>a</t>
    </r>
    <r>
      <rPr>
        <b/>
        <sz val="9"/>
        <rFont val="Arial"/>
        <family val="2"/>
      </rPr>
      <t>/F</t>
    </r>
    <r>
      <rPr>
        <b/>
        <vertAlign val="subscript"/>
        <sz val="9"/>
        <rFont val="Arial"/>
        <family val="2"/>
      </rPr>
      <t xml:space="preserve">gut </t>
    </r>
    <r>
      <rPr>
        <b/>
        <sz val="9"/>
        <rFont val="Arial"/>
        <family val="2"/>
      </rPr>
      <t>- current value</t>
    </r>
  </si>
  <si>
    <r>
      <t>f</t>
    </r>
    <r>
      <rPr>
        <b/>
        <vertAlign val="subscript"/>
        <sz val="9"/>
        <rFont val="Arial"/>
        <family val="2"/>
      </rPr>
      <t xml:space="preserve">m x </t>
    </r>
    <r>
      <rPr>
        <b/>
        <sz val="9"/>
        <rFont val="Arial"/>
        <family val="2"/>
      </rPr>
      <t>f</t>
    </r>
    <r>
      <rPr>
        <b/>
        <vertAlign val="subscript"/>
        <sz val="9"/>
        <rFont val="Arial"/>
        <family val="2"/>
      </rPr>
      <t xml:space="preserve">m,CYP </t>
    </r>
    <r>
      <rPr>
        <b/>
        <sz val="9"/>
        <rFont val="Arial"/>
        <family val="2"/>
      </rPr>
      <t>current value</t>
    </r>
  </si>
  <si>
    <r>
      <t>[I]</t>
    </r>
    <r>
      <rPr>
        <b/>
        <vertAlign val="subscript"/>
        <sz val="9"/>
        <rFont val="Arial"/>
        <family val="2"/>
      </rPr>
      <t>u</t>
    </r>
    <r>
      <rPr>
        <b/>
        <sz val="9"/>
        <rFont val="Arial"/>
        <family val="2"/>
      </rPr>
      <t xml:space="preserve"> (µM) current value</t>
    </r>
  </si>
  <si>
    <r>
      <t>k</t>
    </r>
    <r>
      <rPr>
        <b/>
        <vertAlign val="subscript"/>
        <sz val="9"/>
        <rFont val="Arial"/>
        <family val="2"/>
      </rPr>
      <t xml:space="preserve">inact </t>
    </r>
    <r>
      <rPr>
        <b/>
        <sz val="9"/>
        <rFont val="Arial"/>
        <family val="2"/>
      </rPr>
      <t>(min</t>
    </r>
    <r>
      <rPr>
        <b/>
        <vertAlign val="superscript"/>
        <sz val="9"/>
        <rFont val="Arial"/>
        <family val="2"/>
      </rPr>
      <t>-1</t>
    </r>
    <r>
      <rPr>
        <b/>
        <sz val="9"/>
        <rFont val="Arial"/>
        <family val="2"/>
      </rPr>
      <t xml:space="preserve">) current value </t>
    </r>
  </si>
  <si>
    <t>Igut = dose/250mL OR</t>
  </si>
  <si>
    <t>Iinlet = Iss + ka.fabs.fgut.Dose/Qpv</t>
  </si>
  <si>
    <t>Igut = ka.fabs.Dose/Qvilli</t>
  </si>
  <si>
    <r>
      <t>f</t>
    </r>
    <r>
      <rPr>
        <i/>
        <vertAlign val="subscript"/>
        <sz val="11"/>
        <rFont val="Arial"/>
        <family val="2"/>
      </rPr>
      <t>gut</t>
    </r>
    <r>
      <rPr>
        <sz val="11"/>
        <rFont val="Arial"/>
        <family val="2"/>
      </rPr>
      <t xml:space="preserve"> = fr escaping gut metabolism in the absence of inhibitor</t>
    </r>
  </si>
  <si>
    <r>
      <t>f</t>
    </r>
    <r>
      <rPr>
        <i/>
        <vertAlign val="superscript"/>
        <sz val="11"/>
        <rFont val="Arial"/>
        <family val="2"/>
      </rPr>
      <t>i</t>
    </r>
    <r>
      <rPr>
        <vertAlign val="subscript"/>
        <sz val="11"/>
        <rFont val="Arial"/>
        <family val="2"/>
      </rPr>
      <t xml:space="preserve">gut </t>
    </r>
    <r>
      <rPr>
        <sz val="11"/>
        <rFont val="Arial"/>
        <family val="2"/>
      </rPr>
      <t>=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fr escaping gut metabolism in the presence of inhibitor</t>
    </r>
  </si>
  <si>
    <r>
      <t>f</t>
    </r>
    <r>
      <rPr>
        <b/>
        <vertAlign val="subscript"/>
        <sz val="11"/>
        <rFont val="Arial"/>
        <family val="2"/>
      </rPr>
      <t>gut</t>
    </r>
  </si>
  <si>
    <r>
      <t>f</t>
    </r>
    <r>
      <rPr>
        <b/>
        <vertAlign val="subscript"/>
        <sz val="11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</si>
  <si>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abs</t>
    </r>
  </si>
  <si>
    <r>
      <t>f</t>
    </r>
    <r>
      <rPr>
        <b/>
        <vertAlign val="subscript"/>
        <sz val="10"/>
        <rFont val="Arial"/>
        <family val="2"/>
      </rPr>
      <t>gut</t>
    </r>
  </si>
  <si>
    <t>RESULTS</t>
  </si>
  <si>
    <t>SUBSTRATE (VICTIM)</t>
  </si>
  <si>
    <t>REVERSIBLE INHIBITOR (PERPETRATOR)</t>
  </si>
  <si>
    <t xml:space="preserve">SENSITIVITY ANALYSIS: DDI PREDICTIONS </t>
  </si>
  <si>
    <t>kdeg (min-1)</t>
  </si>
  <si>
    <t>t1/2deg (min)</t>
  </si>
  <si>
    <t>S9.2</t>
  </si>
  <si>
    <t>S9.3</t>
  </si>
  <si>
    <t>S9.4</t>
  </si>
  <si>
    <t>S9.5</t>
  </si>
  <si>
    <t>S9.6</t>
  </si>
  <si>
    <t>S9.7</t>
  </si>
  <si>
    <t>S9.8</t>
  </si>
  <si>
    <t>CL/F (mL/min)</t>
  </si>
  <si>
    <t>TDI-Verapamil (CYP3A5)</t>
  </si>
  <si>
    <r>
      <t xml:space="preserve">Elim rate const - k </t>
    </r>
    <r>
      <rPr>
        <b/>
        <sz val="9"/>
        <rFont val="Arial"/>
        <family val="2"/>
      </rPr>
      <t>(needed if I</t>
    </r>
    <r>
      <rPr>
        <b/>
        <vertAlign val="subscript"/>
        <sz val="9"/>
        <rFont val="Arial"/>
        <family val="2"/>
      </rPr>
      <t>max</t>
    </r>
    <r>
      <rPr>
        <b/>
        <sz val="9"/>
        <rFont val="Arial"/>
        <family val="2"/>
      </rPr>
      <t xml:space="preserve"> is used)</t>
    </r>
  </si>
  <si>
    <t>Gut contribution to DDI magnitude for irreversible inactivation</t>
  </si>
  <si>
    <t>DDI magnitude for irreversible inactivation (1)</t>
  </si>
  <si>
    <t>Gut contribution to DDI magnitude for reversible inhibition</t>
  </si>
  <si>
    <t>AUC ratio (TDI)  Eqs 4 &amp; 5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</si>
  <si>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sz val="10"/>
        <rFont val="Arial"/>
        <family val="2"/>
      </rPr>
      <t/>
    </r>
  </si>
  <si>
    <r>
      <t>f</t>
    </r>
    <r>
      <rPr>
        <b/>
        <vertAlign val="subscript"/>
        <sz val="10"/>
        <rFont val="Arial"/>
        <family val="2"/>
      </rPr>
      <t>m</t>
    </r>
  </si>
  <si>
    <r>
      <t>f</t>
    </r>
    <r>
      <rPr>
        <b/>
        <vertAlign val="subscript"/>
        <sz val="10"/>
        <rFont val="Arial"/>
        <family val="2"/>
      </rPr>
      <t>m,CYP</t>
    </r>
  </si>
  <si>
    <r>
      <t>f</t>
    </r>
    <r>
      <rPr>
        <b/>
        <vertAlign val="subscript"/>
        <sz val="10"/>
        <rFont val="Arial"/>
        <family val="2"/>
      </rPr>
      <t>u,plasma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</si>
  <si>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</si>
  <si>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I</t>
    </r>
    <r>
      <rPr>
        <b/>
        <vertAlign val="subscript"/>
        <sz val="10"/>
        <rFont val="Arial"/>
        <family val="2"/>
      </rPr>
      <t xml:space="preserve">gut         </t>
    </r>
    <r>
      <rPr>
        <b/>
        <sz val="10"/>
        <rFont val="Arial"/>
        <family val="2"/>
      </rPr>
      <t>Eq 7</t>
    </r>
  </si>
  <si>
    <r>
      <t>K</t>
    </r>
    <r>
      <rPr>
        <b/>
        <vertAlign val="subscript"/>
        <sz val="10"/>
        <rFont val="Arial"/>
        <family val="2"/>
      </rPr>
      <t xml:space="preserve">I,u </t>
    </r>
  </si>
  <si>
    <r>
      <t>k</t>
    </r>
    <r>
      <rPr>
        <b/>
        <vertAlign val="subscript"/>
        <sz val="10"/>
        <rFont val="Arial"/>
        <family val="2"/>
      </rPr>
      <t>inact</t>
    </r>
  </si>
  <si>
    <r>
      <t>[I]</t>
    </r>
    <r>
      <rPr>
        <b/>
        <vertAlign val="subscript"/>
        <sz val="10"/>
        <color indexed="12"/>
        <rFont val="Arial"/>
        <family val="2"/>
      </rPr>
      <t>u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</si>
  <si>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 Eqs 2 &amp; 3</t>
    </r>
  </si>
  <si>
    <r>
      <t>(1-f</t>
    </r>
    <r>
      <rPr>
        <vertAlign val="subscript"/>
        <sz val="10"/>
        <rFont val="Arial"/>
        <family val="2"/>
      </rPr>
      <t>e</t>
    </r>
    <r>
      <rPr>
        <sz val="10"/>
        <rFont val="Arial"/>
        <family val="2"/>
      </rPr>
      <t>)</t>
    </r>
  </si>
  <si>
    <r>
      <t>(min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</si>
  <si>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</si>
  <si>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>(needed only if Iinlet is used)</t>
    </r>
  </si>
  <si>
    <r>
      <t>f</t>
    </r>
    <r>
      <rPr>
        <b/>
        <vertAlign val="subscript"/>
        <sz val="10"/>
        <rFont val="Arial"/>
        <family val="2"/>
      </rPr>
      <t>gut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only if Iinlet is used)</t>
    </r>
  </si>
  <si>
    <r>
      <t>CL or CL/F</t>
    </r>
    <r>
      <rPr>
        <b/>
        <sz val="9"/>
        <rFont val="Arial"/>
        <family val="2"/>
      </rPr>
      <t xml:space="preserve"> (if using CL/F use F= 1 in Col O)</t>
    </r>
  </si>
  <si>
    <r>
      <t>AUC ratio (TDI)   Eq 4;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</si>
  <si>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r>
      <t>AUC ratio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(Rev)  Eq 2; f</t>
    </r>
    <r>
      <rPr>
        <b/>
        <vertAlign val="superscript"/>
        <sz val="10"/>
        <color indexed="12"/>
        <rFont val="Arial"/>
        <family val="2"/>
      </rPr>
      <t>i</t>
    </r>
    <r>
      <rPr>
        <b/>
        <sz val="10"/>
        <color indexed="12"/>
        <rFont val="Arial"/>
        <family val="2"/>
      </rPr>
      <t>gut = fabs</t>
    </r>
  </si>
  <si>
    <t xml:space="preserve"> DDI magnitude for reversible inhibition [1]</t>
  </si>
  <si>
    <t>Gut contribution to AUC ratio (Rev) Eq3</t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</si>
  <si>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                 </t>
    </r>
    <r>
      <rPr>
        <b/>
        <sz val="9"/>
        <rFont val="Arial"/>
        <family val="2"/>
      </rPr>
      <t>Use fabs (or a value of 1 if fabs is not available) assuming 100% inhibition</t>
    </r>
  </si>
  <si>
    <t>Gut contribution to AUC ratio (TDI) Eq 5</t>
  </si>
  <si>
    <t>AUC ratio (TDI) liver</t>
  </si>
  <si>
    <r>
      <t xml:space="preserve">Imax </t>
    </r>
    <r>
      <rPr>
        <b/>
        <sz val="9"/>
        <color indexed="12"/>
        <rFont val="Arial"/>
        <family val="2"/>
      </rPr>
      <t>(assumes instantaneous absorption)</t>
    </r>
  </si>
  <si>
    <r>
      <t>k</t>
    </r>
    <r>
      <rPr>
        <b/>
        <vertAlign val="subscript"/>
        <sz val="10"/>
        <rFont val="Arial"/>
        <family val="2"/>
      </rPr>
      <t>a</t>
    </r>
    <r>
      <rPr>
        <b/>
        <vertAlign val="subscript"/>
        <sz val="9"/>
        <rFont val="Arial"/>
        <family val="2"/>
      </rPr>
      <t xml:space="preserve"> </t>
    </r>
    <r>
      <rPr>
        <b/>
        <sz val="9"/>
        <rFont val="Arial"/>
        <family val="2"/>
      </rPr>
      <t>(needed for Iinlet and for Eq. 3 &amp; Eq. 5 )</t>
    </r>
  </si>
  <si>
    <r>
      <t>f</t>
    </r>
    <r>
      <rPr>
        <b/>
        <vertAlign val="subscript"/>
        <sz val="10"/>
        <rFont val="Arial"/>
        <family val="2"/>
      </rPr>
      <t xml:space="preserve">abs </t>
    </r>
    <r>
      <rPr>
        <b/>
        <sz val="9"/>
        <rFont val="Arial"/>
        <family val="2"/>
      </rPr>
      <t xml:space="preserve"> (needed for Iinlet and for Eq. 3 &amp; Eq. 5 )</t>
    </r>
  </si>
  <si>
    <t>Itraconazole (CYP3A4)</t>
  </si>
  <si>
    <t>CL or CL/F (if using CL/F, use F= 1 in Col O)</t>
  </si>
  <si>
    <t xml:space="preserve">  Compound ID </t>
  </si>
  <si>
    <t xml:space="preserve"> IND compound is</t>
  </si>
  <si>
    <t>M compound is</t>
  </si>
  <si>
    <t xml:space="preserve">M Compound ID </t>
  </si>
  <si>
    <t>CYP inducer parameters</t>
  </si>
  <si>
    <t>Rifampicin</t>
  </si>
  <si>
    <t>DDI risk assessment</t>
  </si>
  <si>
    <t>AUC ratio (without gut contribution)</t>
  </si>
  <si>
    <t xml:space="preserve">Fg/Fg' </t>
  </si>
  <si>
    <t>Dosing interval (h)</t>
  </si>
  <si>
    <t>AUC ratio (with gut contribution)</t>
  </si>
  <si>
    <t>Bioavailability</t>
  </si>
  <si>
    <t>Clearance (L/h)</t>
  </si>
  <si>
    <t>[I] (µM)</t>
  </si>
  <si>
    <t>[I]u  (µM)</t>
  </si>
  <si>
    <t>CYP substrate parameters</t>
  </si>
  <si>
    <t>fm</t>
  </si>
  <si>
    <t>fm,CYP</t>
  </si>
  <si>
    <t>fgut</t>
  </si>
  <si>
    <t>* Assume that the fraction of substrate metabolized by CYP3A4 (fmg,3A4) is 1.</t>
  </si>
  <si>
    <t>Evafirenz</t>
  </si>
  <si>
    <t>ibrutinib</t>
  </si>
  <si>
    <t xml:space="preserve">  compound is</t>
  </si>
  <si>
    <t>Indmax</t>
  </si>
  <si>
    <t>IndC50 (uM)</t>
  </si>
  <si>
    <t>fa</t>
  </si>
  <si>
    <t>Ka (1/h)</t>
  </si>
  <si>
    <t>B/P</t>
  </si>
  <si>
    <t>[I]inlet (uM)</t>
  </si>
  <si>
    <t>[I]inlet,u (uM)</t>
  </si>
  <si>
    <t>Qh(L/h)</t>
  </si>
  <si>
    <t>Cg (uM)</t>
  </si>
  <si>
    <t>Ch (uM)</t>
  </si>
  <si>
    <t>Qvilli (L/h)</t>
  </si>
  <si>
    <t>[I]gut (µM)</t>
  </si>
  <si>
    <t>Rifampin-midazolam</t>
  </si>
  <si>
    <t>Evafirenz-ibrutinib</t>
  </si>
  <si>
    <t>Reversible or time-dependent inhibition</t>
  </si>
  <si>
    <r>
      <t>f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>(CYP3A)</t>
    </r>
  </si>
  <si>
    <r>
      <t>f</t>
    </r>
    <r>
      <rPr>
        <b/>
        <i/>
        <vertAlign val="superscript"/>
        <sz val="10"/>
        <rFont val="Arial"/>
        <family val="2"/>
      </rPr>
      <t>i</t>
    </r>
    <r>
      <rPr>
        <b/>
        <vertAlign val="subscript"/>
        <sz val="10"/>
        <rFont val="Arial"/>
        <family val="2"/>
      </rPr>
      <t xml:space="preserve">gut </t>
    </r>
    <r>
      <rPr>
        <b/>
        <sz val="10"/>
        <rFont val="Arial"/>
        <family val="2"/>
      </rPr>
      <t xml:space="preserve">(CYP3A)    </t>
    </r>
    <r>
      <rPr>
        <b/>
        <vertAlign val="subscript"/>
        <sz val="10"/>
        <rFont val="Arial"/>
        <family val="2"/>
      </rPr>
      <t xml:space="preserve">          </t>
    </r>
    <r>
      <rPr>
        <b/>
        <sz val="9"/>
        <rFont val="Arial"/>
        <family val="2"/>
      </rPr>
      <t>Use fabs (or a value of 1 if fabs is not available) assuming 100% inhibition</t>
    </r>
  </si>
  <si>
    <t>Enzyme full</t>
  </si>
  <si>
    <t>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</si>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</sst>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#,##0.000"/>
  </numFmts>
  <fonts count="53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vertAlign val="subscript"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1"/>
      <color indexed="12"/>
      <name val="Arial"/>
      <family val="2"/>
    </font>
    <font>
      <b/>
      <vertAlign val="subscript"/>
      <sz val="10"/>
      <name val="Arial"/>
      <family val="2"/>
    </font>
    <font>
      <i/>
      <sz val="11"/>
      <name val="Arial"/>
      <family val="2"/>
    </font>
    <font>
      <sz val="11"/>
      <name val="Symbol"/>
      <family val="1"/>
      <charset val="2"/>
    </font>
    <font>
      <sz val="12"/>
      <name val="Arial"/>
      <family val="2"/>
    </font>
    <font>
      <sz val="12"/>
      <name val="Symbol"/>
      <family val="1"/>
      <charset val="2"/>
    </font>
    <font>
      <i/>
      <vertAlign val="subscript"/>
      <sz val="11"/>
      <name val="Arial"/>
      <family val="2"/>
    </font>
    <font>
      <vertAlign val="subscript"/>
      <sz val="11"/>
      <name val="Arial"/>
      <family val="2"/>
    </font>
    <font>
      <i/>
      <vertAlign val="superscript"/>
      <sz val="11"/>
      <name val="Arial"/>
      <family val="2"/>
    </font>
    <font>
      <vertAlign val="superscript"/>
      <sz val="12"/>
      <name val="Cambria"/>
      <family val="1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color indexed="9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color indexed="12"/>
      <name val="Arial"/>
      <family val="2"/>
    </font>
    <font>
      <vertAlign val="subscript"/>
      <sz val="9"/>
      <name val="Arial"/>
      <family val="2"/>
    </font>
    <font>
      <b/>
      <u/>
      <sz val="9"/>
      <name val="Arial"/>
      <family val="2"/>
    </font>
    <font>
      <b/>
      <vertAlign val="superscript"/>
      <sz val="9"/>
      <name val="Arial"/>
      <family val="2"/>
    </font>
    <font>
      <b/>
      <i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sz val="10"/>
      <color indexed="12"/>
      <name val="Arial"/>
      <family val="2"/>
    </font>
    <font>
      <b/>
      <vertAlign val="subscript"/>
      <sz val="10"/>
      <color indexed="12"/>
      <name val="Arial"/>
      <family val="2"/>
    </font>
    <font>
      <b/>
      <vertAlign val="superscript"/>
      <sz val="10"/>
      <color indexed="12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theme="5" tint="-0.24994659260841701"/>
      </right>
      <top/>
      <bottom style="thin">
        <color indexed="64"/>
      </bottom>
      <diagonal/>
    </border>
    <border>
      <left style="double">
        <color theme="5" tint="-0.24994659260841701"/>
      </left>
      <right/>
      <top/>
      <bottom/>
      <diagonal/>
    </border>
    <border>
      <left style="double">
        <color theme="5" tint="-0.24994659260841701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/>
      <diagonal/>
    </border>
    <border>
      <left style="thin">
        <color indexed="64"/>
      </left>
      <right style="double">
        <color theme="5" tint="-0.24994659260841701"/>
      </right>
      <top/>
      <bottom/>
      <diagonal/>
    </border>
    <border>
      <left style="thin">
        <color indexed="64"/>
      </left>
      <right style="double">
        <color theme="5" tint="-0.24994659260841701"/>
      </right>
      <top/>
      <bottom style="thin">
        <color indexed="64"/>
      </bottom>
      <diagonal/>
    </border>
    <border>
      <left/>
      <right style="double">
        <color theme="5" tint="-0.24994659260841701"/>
      </right>
      <top/>
      <bottom/>
      <diagonal/>
    </border>
    <border>
      <left/>
      <right/>
      <top/>
      <bottom style="double">
        <color theme="5" tint="-0.24994659260841701"/>
      </bottom>
      <diagonal/>
    </border>
    <border>
      <left style="thin">
        <color indexed="64"/>
      </left>
      <right style="thin">
        <color indexed="64"/>
      </right>
      <top/>
      <bottom style="double">
        <color theme="5" tint="-0.24994659260841701"/>
      </bottom>
      <diagonal/>
    </border>
    <border>
      <left style="thin">
        <color indexed="64"/>
      </left>
      <right style="double">
        <color theme="5" tint="-0.24994659260841701"/>
      </right>
      <top/>
      <bottom style="double">
        <color theme="5" tint="-0.2499465926084170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8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0" fillId="3" borderId="8" xfId="0" applyFill="1" applyBorder="1"/>
    <xf numFmtId="0" fontId="8" fillId="3" borderId="7" xfId="0" applyFont="1" applyFill="1" applyBorder="1"/>
    <xf numFmtId="0" fontId="4" fillId="3" borderId="0" xfId="0" applyFont="1" applyFill="1" applyBorder="1"/>
    <xf numFmtId="0" fontId="2" fillId="3" borderId="7" xfId="0" applyFont="1" applyFill="1" applyBorder="1"/>
    <xf numFmtId="0" fontId="5" fillId="3" borderId="0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9" fillId="2" borderId="1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8" fillId="3" borderId="1" xfId="0" applyFont="1" applyFill="1" applyBorder="1"/>
    <xf numFmtId="2" fontId="11" fillId="0" borderId="0" xfId="0" applyNumberFormat="1" applyFont="1" applyAlignment="1">
      <alignment horizontal="center"/>
    </xf>
    <xf numFmtId="0" fontId="1" fillId="2" borderId="0" xfId="0" applyFont="1" applyFill="1"/>
    <xf numFmtId="0" fontId="5" fillId="3" borderId="6" xfId="0" applyFont="1" applyFill="1" applyBorder="1"/>
    <xf numFmtId="0" fontId="4" fillId="3" borderId="6" xfId="0" applyFont="1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11" fillId="0" borderId="0" xfId="0" applyFont="1" applyBorder="1" applyAlignment="1">
      <alignment horizontal="center"/>
    </xf>
    <xf numFmtId="0" fontId="13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2" fontId="12" fillId="2" borderId="7" xfId="0" applyNumberFormat="1" applyFont="1" applyFill="1" applyBorder="1" applyAlignment="1">
      <alignment horizontal="center"/>
    </xf>
    <xf numFmtId="0" fontId="11" fillId="0" borderId="0" xfId="0" applyFont="1" applyBorder="1"/>
    <xf numFmtId="0" fontId="5" fillId="2" borderId="0" xfId="0" applyFont="1" applyFill="1" applyBorder="1"/>
    <xf numFmtId="0" fontId="2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3" borderId="0" xfId="0" applyFont="1" applyFill="1" applyBorder="1"/>
    <xf numFmtId="0" fontId="15" fillId="3" borderId="0" xfId="0" applyFont="1" applyFill="1" applyBorder="1"/>
    <xf numFmtId="0" fontId="1" fillId="3" borderId="3" xfId="0" applyFont="1" applyFill="1" applyBorder="1"/>
    <xf numFmtId="0" fontId="1" fillId="3" borderId="0" xfId="0" applyFont="1" applyFill="1" applyBorder="1" applyAlignment="1">
      <alignment vertical="center"/>
    </xf>
    <xf numFmtId="0" fontId="17" fillId="4" borderId="7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17" fillId="4" borderId="1" xfId="0" applyFont="1" applyFill="1" applyBorder="1"/>
    <xf numFmtId="0" fontId="3" fillId="4" borderId="3" xfId="0" applyFont="1" applyFill="1" applyBorder="1"/>
    <xf numFmtId="0" fontId="4" fillId="4" borderId="8" xfId="0" applyFont="1" applyFill="1" applyBorder="1"/>
    <xf numFmtId="0" fontId="3" fillId="4" borderId="6" xfId="0" applyFont="1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6" xfId="0" applyFill="1" applyBorder="1"/>
    <xf numFmtId="0" fontId="4" fillId="4" borderId="5" xfId="0" applyFont="1" applyFill="1" applyBorder="1"/>
    <xf numFmtId="0" fontId="16" fillId="4" borderId="1" xfId="0" applyFont="1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1" fillId="3" borderId="12" xfId="0" applyFont="1" applyFill="1" applyBorder="1"/>
    <xf numFmtId="0" fontId="1" fillId="3" borderId="14" xfId="0" applyFont="1" applyFill="1" applyBorder="1"/>
    <xf numFmtId="0" fontId="0" fillId="3" borderId="1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11" fillId="4" borderId="7" xfId="0" applyFont="1" applyFill="1" applyBorder="1"/>
    <xf numFmtId="0" fontId="3" fillId="4" borderId="1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11" fillId="4" borderId="3" xfId="0" applyFont="1" applyFill="1" applyBorder="1"/>
    <xf numFmtId="0" fontId="11" fillId="4" borderId="2" xfId="0" applyFont="1" applyFill="1" applyBorder="1"/>
    <xf numFmtId="0" fontId="11" fillId="4" borderId="0" xfId="0" applyFont="1" applyFill="1" applyBorder="1"/>
    <xf numFmtId="0" fontId="11" fillId="4" borderId="8" xfId="0" applyFont="1" applyFill="1" applyBorder="1"/>
    <xf numFmtId="2" fontId="11" fillId="4" borderId="0" xfId="0" applyNumberFormat="1" applyFont="1" applyFill="1" applyBorder="1" applyAlignment="1">
      <alignment horizontal="center"/>
    </xf>
    <xf numFmtId="0" fontId="11" fillId="4" borderId="6" xfId="0" applyFont="1" applyFill="1" applyBorder="1"/>
    <xf numFmtId="0" fontId="11" fillId="4" borderId="5" xfId="0" applyFont="1" applyFill="1" applyBorder="1"/>
    <xf numFmtId="2" fontId="11" fillId="4" borderId="6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1" fillId="6" borderId="8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/>
    <xf numFmtId="0" fontId="3" fillId="4" borderId="14" xfId="0" applyFont="1" applyFill="1" applyBorder="1"/>
    <xf numFmtId="0" fontId="11" fillId="7" borderId="0" xfId="0" applyFont="1" applyFill="1" applyBorder="1"/>
    <xf numFmtId="166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6" fontId="3" fillId="4" borderId="6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4" borderId="7" xfId="0" applyNumberFormat="1" applyFont="1" applyFill="1" applyBorder="1" applyAlignment="1">
      <alignment horizontal="center"/>
    </xf>
    <xf numFmtId="0" fontId="43" fillId="7" borderId="3" xfId="0" applyFont="1" applyFill="1" applyBorder="1"/>
    <xf numFmtId="0" fontId="43" fillId="7" borderId="9" xfId="0" applyFont="1" applyFill="1" applyBorder="1"/>
    <xf numFmtId="0" fontId="43" fillId="7" borderId="2" xfId="0" applyFont="1" applyFill="1" applyBorder="1"/>
    <xf numFmtId="0" fontId="43" fillId="7" borderId="6" xfId="0" applyFont="1" applyFill="1" applyBorder="1"/>
    <xf numFmtId="0" fontId="43" fillId="7" borderId="8" xfId="0" applyFont="1" applyFill="1" applyBorder="1"/>
    <xf numFmtId="0" fontId="3" fillId="4" borderId="6" xfId="0" applyFont="1" applyFill="1" applyBorder="1" applyAlignment="1">
      <alignment horizontal="center"/>
    </xf>
    <xf numFmtId="0" fontId="43" fillId="7" borderId="1" xfId="0" applyFont="1" applyFill="1" applyBorder="1"/>
    <xf numFmtId="0" fontId="44" fillId="7" borderId="3" xfId="0" applyFont="1" applyFill="1" applyBorder="1"/>
    <xf numFmtId="0" fontId="11" fillId="7" borderId="7" xfId="0" applyFont="1" applyFill="1" applyBorder="1"/>
    <xf numFmtId="2" fontId="11" fillId="0" borderId="0" xfId="0" applyNumberFormat="1" applyFont="1" applyBorder="1" applyAlignment="1">
      <alignment horizontal="center"/>
    </xf>
    <xf numFmtId="0" fontId="43" fillId="4" borderId="8" xfId="0" applyFont="1" applyFill="1" applyBorder="1"/>
    <xf numFmtId="0" fontId="43" fillId="4" borderId="5" xfId="0" applyFont="1" applyFill="1" applyBorder="1"/>
    <xf numFmtId="0" fontId="11" fillId="4" borderId="1" xfId="0" applyFont="1" applyFill="1" applyBorder="1"/>
    <xf numFmtId="0" fontId="11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3" fillId="7" borderId="4" xfId="0" applyFont="1" applyFill="1" applyBorder="1"/>
    <xf numFmtId="0" fontId="43" fillId="7" borderId="5" xfId="0" applyFont="1" applyFill="1" applyBorder="1"/>
    <xf numFmtId="166" fontId="3" fillId="4" borderId="0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5" fillId="6" borderId="11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3" fillId="4" borderId="0" xfId="0" applyFont="1" applyFill="1"/>
    <xf numFmtId="0" fontId="46" fillId="4" borderId="0" xfId="0" applyFont="1" applyFill="1" applyBorder="1" applyAlignment="1">
      <alignment horizontal="center"/>
    </xf>
    <xf numFmtId="0" fontId="47" fillId="4" borderId="12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2" borderId="12" xfId="0" applyNumberFormat="1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4" fontId="11" fillId="8" borderId="12" xfId="0" applyNumberFormat="1" applyFont="1" applyFill="1" applyBorder="1" applyAlignment="1">
      <alignment horizontal="center"/>
    </xf>
    <xf numFmtId="0" fontId="0" fillId="2" borderId="4" xfId="0" applyFill="1" applyBorder="1"/>
    <xf numFmtId="0" fontId="11" fillId="6" borderId="15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2" fontId="11" fillId="4" borderId="13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4" borderId="12" xfId="0" applyNumberFormat="1" applyFont="1" applyFill="1" applyBorder="1" applyAlignment="1">
      <alignment horizontal="center"/>
    </xf>
    <xf numFmtId="2" fontId="11" fillId="4" borderId="1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7" borderId="8" xfId="0" applyFont="1" applyFill="1" applyBorder="1"/>
    <xf numFmtId="0" fontId="11" fillId="4" borderId="12" xfId="0" applyFont="1" applyFill="1" applyBorder="1"/>
    <xf numFmtId="0" fontId="9" fillId="4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3" fillId="4" borderId="13" xfId="0" applyFont="1" applyFill="1" applyBorder="1"/>
    <xf numFmtId="2" fontId="12" fillId="2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center" vertical="center" wrapText="1"/>
    </xf>
    <xf numFmtId="0" fontId="31" fillId="4" borderId="1" xfId="0" applyFont="1" applyFill="1" applyBorder="1"/>
    <xf numFmtId="0" fontId="5" fillId="4" borderId="3" xfId="0" applyFont="1" applyFill="1" applyBorder="1"/>
    <xf numFmtId="0" fontId="5" fillId="0" borderId="3" xfId="0" applyFont="1" applyBorder="1"/>
    <xf numFmtId="0" fontId="5" fillId="4" borderId="2" xfId="0" applyFont="1" applyFill="1" applyBorder="1"/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5" fillId="4" borderId="0" xfId="0" applyFont="1" applyFill="1" applyBorder="1"/>
    <xf numFmtId="0" fontId="5" fillId="4" borderId="8" xfId="0" applyFont="1" applyFill="1" applyBorder="1"/>
    <xf numFmtId="0" fontId="27" fillId="9" borderId="11" xfId="0" applyFont="1" applyFill="1" applyBorder="1" applyAlignment="1">
      <alignment horizontal="center" vertical="center" wrapText="1"/>
    </xf>
    <xf numFmtId="0" fontId="5" fillId="4" borderId="7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5" borderId="14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29" fillId="2" borderId="4" xfId="0" applyNumberFormat="1" applyFont="1" applyFill="1" applyBorder="1" applyAlignment="1">
      <alignment horizontal="center"/>
    </xf>
    <xf numFmtId="164" fontId="5" fillId="8" borderId="14" xfId="0" applyNumberFormat="1" applyFont="1" applyFill="1" applyBorder="1" applyAlignment="1">
      <alignment horizontal="center"/>
    </xf>
    <xf numFmtId="164" fontId="5" fillId="8" borderId="20" xfId="0" applyNumberFormat="1" applyFont="1" applyFill="1" applyBorder="1" applyAlignment="1">
      <alignment horizontal="center"/>
    </xf>
    <xf numFmtId="2" fontId="29" fillId="2" borderId="5" xfId="0" applyNumberFormat="1" applyFont="1" applyFill="1" applyBorder="1" applyAlignment="1">
      <alignment horizontal="center"/>
    </xf>
    <xf numFmtId="165" fontId="29" fillId="2" borderId="5" xfId="0" applyNumberFormat="1" applyFont="1" applyFill="1" applyBorder="1" applyAlignment="1">
      <alignment horizontal="center"/>
    </xf>
    <xf numFmtId="2" fontId="5" fillId="4" borderId="7" xfId="0" applyNumberFormat="1" applyFont="1" applyFill="1" applyBorder="1" applyAlignment="1">
      <alignment horizontal="center"/>
    </xf>
    <xf numFmtId="2" fontId="5" fillId="4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165" fontId="29" fillId="4" borderId="0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10" borderId="7" xfId="0" applyFont="1" applyFill="1" applyBorder="1"/>
    <xf numFmtId="0" fontId="5" fillId="10" borderId="3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1" borderId="8" xfId="0" applyFont="1" applyFill="1" applyBorder="1"/>
    <xf numFmtId="0" fontId="27" fillId="4" borderId="11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right" vertical="center"/>
    </xf>
    <xf numFmtId="2" fontId="29" fillId="4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/>
    <xf numFmtId="0" fontId="5" fillId="4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vertical="center"/>
    </xf>
    <xf numFmtId="165" fontId="29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 applyAlignment="1">
      <alignment horizontal="center"/>
    </xf>
    <xf numFmtId="2" fontId="5" fillId="4" borderId="11" xfId="0" applyNumberFormat="1" applyFont="1" applyFill="1" applyBorder="1"/>
    <xf numFmtId="0" fontId="5" fillId="12" borderId="1" xfId="0" applyFont="1" applyFill="1" applyBorder="1"/>
    <xf numFmtId="0" fontId="5" fillId="12" borderId="3" xfId="0" applyFont="1" applyFill="1" applyBorder="1"/>
    <xf numFmtId="0" fontId="5" fillId="12" borderId="2" xfId="0" applyFont="1" applyFill="1" applyBorder="1"/>
    <xf numFmtId="0" fontId="5" fillId="12" borderId="7" xfId="0" applyFont="1" applyFill="1" applyBorder="1"/>
    <xf numFmtId="0" fontId="5" fillId="12" borderId="0" xfId="0" applyFont="1" applyFill="1" applyBorder="1"/>
    <xf numFmtId="0" fontId="5" fillId="12" borderId="8" xfId="0" applyFont="1" applyFill="1" applyBorder="1"/>
    <xf numFmtId="0" fontId="5" fillId="4" borderId="7" xfId="0" applyFont="1" applyFill="1" applyBorder="1" applyAlignment="1">
      <alignment horizontal="right"/>
    </xf>
    <xf numFmtId="0" fontId="5" fillId="4" borderId="11" xfId="0" applyFont="1" applyFill="1" applyBorder="1"/>
    <xf numFmtId="0" fontId="5" fillId="4" borderId="11" xfId="0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  <xf numFmtId="0" fontId="5" fillId="11" borderId="6" xfId="0" applyFont="1" applyFill="1" applyBorder="1"/>
    <xf numFmtId="0" fontId="5" fillId="11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5" xfId="0" applyFont="1" applyFill="1" applyBorder="1"/>
    <xf numFmtId="2" fontId="5" fillId="0" borderId="0" xfId="0" applyNumberFormat="1" applyFont="1" applyAlignment="1">
      <alignment horizontal="center"/>
    </xf>
    <xf numFmtId="0" fontId="5" fillId="4" borderId="12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7" fontId="5" fillId="4" borderId="1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5" fillId="11" borderId="7" xfId="0" applyFont="1" applyFill="1" applyBorder="1"/>
    <xf numFmtId="0" fontId="5" fillId="11" borderId="4" xfId="0" applyFont="1" applyFill="1" applyBorder="1"/>
    <xf numFmtId="2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0" fontId="5" fillId="10" borderId="1" xfId="0" applyFont="1" applyFill="1" applyBorder="1"/>
    <xf numFmtId="0" fontId="5" fillId="10" borderId="4" xfId="0" applyFont="1" applyFill="1" applyBorder="1"/>
    <xf numFmtId="0" fontId="5" fillId="10" borderId="6" xfId="0" applyFont="1" applyFill="1" applyBorder="1"/>
    <xf numFmtId="168" fontId="5" fillId="4" borderId="11" xfId="0" applyNumberFormat="1" applyFont="1" applyFill="1" applyBorder="1" applyAlignment="1">
      <alignment horizontal="center"/>
    </xf>
    <xf numFmtId="168" fontId="5" fillId="4" borderId="11" xfId="0" applyNumberFormat="1" applyFont="1" applyFill="1" applyBorder="1" applyAlignment="1">
      <alignment horizontal="center" vertical="center"/>
    </xf>
    <xf numFmtId="165" fontId="5" fillId="4" borderId="11" xfId="0" applyNumberFormat="1" applyFont="1" applyFill="1" applyBorder="1"/>
    <xf numFmtId="0" fontId="9" fillId="6" borderId="9" xfId="0" applyFont="1" applyFill="1" applyBorder="1" applyAlignment="1">
      <alignment horizontal="center" vertical="center"/>
    </xf>
    <xf numFmtId="0" fontId="0" fillId="0" borderId="0" xfId="0" applyBorder="1"/>
    <xf numFmtId="0" fontId="0" fillId="3" borderId="9" xfId="0" applyFill="1" applyBorder="1"/>
    <xf numFmtId="0" fontId="8" fillId="3" borderId="2" xfId="0" applyFont="1" applyFill="1" applyBorder="1"/>
    <xf numFmtId="0" fontId="2" fillId="2" borderId="8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2" borderId="2" xfId="0" applyFill="1" applyBorder="1"/>
    <xf numFmtId="0" fontId="2" fillId="2" borderId="7" xfId="0" applyFont="1" applyFill="1" applyBorder="1"/>
    <xf numFmtId="0" fontId="1" fillId="2" borderId="6" xfId="0" applyFont="1" applyFill="1" applyBorder="1"/>
    <xf numFmtId="167" fontId="12" fillId="2" borderId="8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center"/>
    </xf>
    <xf numFmtId="1" fontId="3" fillId="13" borderId="21" xfId="0" applyNumberFormat="1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164" fontId="11" fillId="13" borderId="0" xfId="0" applyNumberFormat="1" applyFont="1" applyFill="1" applyBorder="1" applyAlignment="1">
      <alignment horizontal="center"/>
    </xf>
    <xf numFmtId="164" fontId="11" fillId="13" borderId="7" xfId="0" applyNumberFormat="1" applyFont="1" applyFill="1" applyBorder="1" applyAlignment="1">
      <alignment horizontal="center"/>
    </xf>
    <xf numFmtId="2" fontId="11" fillId="13" borderId="0" xfId="0" applyNumberFormat="1" applyFont="1" applyFill="1" applyBorder="1" applyAlignment="1">
      <alignment horizontal="center"/>
    </xf>
    <xf numFmtId="2" fontId="12" fillId="13" borderId="8" xfId="0" applyNumberFormat="1" applyFont="1" applyFill="1" applyBorder="1" applyAlignment="1">
      <alignment horizontal="center"/>
    </xf>
    <xf numFmtId="2" fontId="11" fillId="13" borderId="8" xfId="0" applyNumberFormat="1" applyFont="1" applyFill="1" applyBorder="1" applyAlignment="1">
      <alignment horizontal="center"/>
    </xf>
    <xf numFmtId="165" fontId="11" fillId="13" borderId="0" xfId="0" applyNumberFormat="1" applyFont="1" applyFill="1" applyBorder="1" applyAlignment="1">
      <alignment horizontal="center"/>
    </xf>
    <xf numFmtId="165" fontId="11" fillId="13" borderId="7" xfId="0" applyNumberFormat="1" applyFont="1" applyFill="1" applyBorder="1" applyAlignment="1">
      <alignment horizontal="center"/>
    </xf>
    <xf numFmtId="1" fontId="5" fillId="13" borderId="22" xfId="0" applyNumberFormat="1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2" fontId="29" fillId="13" borderId="14" xfId="0" applyNumberFormat="1" applyFont="1" applyFill="1" applyBorder="1" applyAlignment="1">
      <alignment horizontal="center"/>
    </xf>
    <xf numFmtId="2" fontId="5" fillId="13" borderId="5" xfId="0" applyNumberFormat="1" applyFont="1" applyFill="1" applyBorder="1" applyAlignment="1">
      <alignment horizontal="center"/>
    </xf>
    <xf numFmtId="0" fontId="29" fillId="13" borderId="5" xfId="0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5" fontId="5" fillId="13" borderId="14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left"/>
    </xf>
    <xf numFmtId="0" fontId="9" fillId="14" borderId="11" xfId="0" applyFont="1" applyFill="1" applyBorder="1"/>
    <xf numFmtId="164" fontId="11" fillId="8" borderId="23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0" fontId="48" fillId="4" borderId="0" xfId="0" applyFont="1" applyFill="1" applyBorder="1" applyAlignment="1">
      <alignment horizontal="center"/>
    </xf>
    <xf numFmtId="2" fontId="49" fillId="3" borderId="0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3" fillId="4" borderId="7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 wrapText="1"/>
    </xf>
    <xf numFmtId="167" fontId="3" fillId="4" borderId="0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13" borderId="12" xfId="0" applyFont="1" applyFill="1" applyBorder="1" applyAlignment="1">
      <alignment horizontal="center" vertical="center" wrapText="1"/>
    </xf>
    <xf numFmtId="165" fontId="12" fillId="2" borderId="13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/>
    </xf>
    <xf numFmtId="166" fontId="3" fillId="4" borderId="14" xfId="0" applyNumberFormat="1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34" fillId="13" borderId="0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35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/>
    </xf>
    <xf numFmtId="165" fontId="29" fillId="2" borderId="14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 wrapText="1"/>
    </xf>
    <xf numFmtId="0" fontId="1" fillId="0" borderId="0" xfId="0" applyFont="1"/>
    <xf numFmtId="0" fontId="5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 wrapText="1"/>
    </xf>
    <xf numFmtId="0" fontId="42" fillId="15" borderId="14" xfId="0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16" borderId="8" xfId="0" applyFont="1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2" fontId="0" fillId="15" borderId="13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16" borderId="8" xfId="0" applyFill="1" applyBorder="1"/>
    <xf numFmtId="2" fontId="0" fillId="15" borderId="12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/>
    <xf numFmtId="2" fontId="0" fillId="15" borderId="1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2" xfId="0" applyBorder="1"/>
    <xf numFmtId="164" fontId="0" fillId="0" borderId="13" xfId="0" applyNumberFormat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6" borderId="7" xfId="0" applyFill="1" applyBorder="1"/>
    <xf numFmtId="0" fontId="0" fillId="0" borderId="13" xfId="0" applyBorder="1" applyAlignment="1">
      <alignment horizontal="center"/>
    </xf>
    <xf numFmtId="0" fontId="0" fillId="16" borderId="4" xfId="0" applyFill="1" applyBorder="1"/>
    <xf numFmtId="0" fontId="52" fillId="0" borderId="14" xfId="0" applyFont="1" applyBorder="1" applyAlignment="1">
      <alignment horizontal="center"/>
    </xf>
    <xf numFmtId="0" fontId="1" fillId="16" borderId="8" xfId="0" applyFont="1" applyFill="1" applyBorder="1"/>
    <xf numFmtId="0" fontId="50" fillId="0" borderId="12" xfId="0" applyFont="1" applyBorder="1" applyAlignment="1">
      <alignment horizontal="center"/>
    </xf>
    <xf numFmtId="0" fontId="8" fillId="4" borderId="1" xfId="2" applyFont="1" applyFill="1" applyBorder="1"/>
    <xf numFmtId="0" fontId="3" fillId="4" borderId="3" xfId="2" applyFont="1" applyFill="1" applyBorder="1"/>
    <xf numFmtId="0" fontId="3" fillId="4" borderId="2" xfId="2" applyFont="1" applyFill="1" applyBorder="1"/>
    <xf numFmtId="0" fontId="3" fillId="0" borderId="0" xfId="2" applyFont="1"/>
    <xf numFmtId="0" fontId="1" fillId="0" borderId="7" xfId="2" applyBorder="1"/>
    <xf numFmtId="0" fontId="3" fillId="4" borderId="0" xfId="2" applyFont="1" applyFill="1"/>
    <xf numFmtId="0" fontId="3" fillId="4" borderId="8" xfId="2" applyFont="1" applyFill="1" applyBorder="1"/>
    <xf numFmtId="0" fontId="9" fillId="9" borderId="11" xfId="2" applyFont="1" applyFill="1" applyBorder="1" applyAlignment="1">
      <alignment horizontal="center" vertical="center" wrapText="1"/>
    </xf>
    <xf numFmtId="0" fontId="27" fillId="5" borderId="11" xfId="2" applyFont="1" applyFill="1" applyBorder="1" applyAlignment="1">
      <alignment horizontal="center" vertical="center" wrapText="1"/>
    </xf>
    <xf numFmtId="0" fontId="3" fillId="4" borderId="7" xfId="2" applyFont="1" applyFill="1" applyBorder="1"/>
    <xf numFmtId="0" fontId="4" fillId="14" borderId="11" xfId="2" applyFont="1" applyFill="1" applyBorder="1" applyAlignment="1">
      <alignment horizontal="left"/>
    </xf>
    <xf numFmtId="0" fontId="9" fillId="14" borderId="11" xfId="2" applyFont="1" applyFill="1" applyBorder="1"/>
    <xf numFmtId="0" fontId="3" fillId="0" borderId="0" xfId="2" applyFont="1" applyAlignment="1">
      <alignment horizontal="center"/>
    </xf>
    <xf numFmtId="0" fontId="9" fillId="5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/>
    </xf>
    <xf numFmtId="0" fontId="34" fillId="13" borderId="11" xfId="2" applyFont="1" applyFill="1" applyBorder="1" applyAlignment="1">
      <alignment horizontal="center" vertical="center"/>
    </xf>
    <xf numFmtId="0" fontId="9" fillId="13" borderId="11" xfId="2" applyFont="1" applyFill="1" applyBorder="1" applyAlignment="1">
      <alignment horizontal="center" vertical="center" wrapText="1"/>
    </xf>
    <xf numFmtId="0" fontId="35" fillId="13" borderId="11" xfId="2" applyFont="1" applyFill="1" applyBorder="1" applyAlignment="1">
      <alignment horizontal="center" vertical="center"/>
    </xf>
    <xf numFmtId="0" fontId="27" fillId="13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 wrapText="1"/>
    </xf>
    <xf numFmtId="0" fontId="35" fillId="2" borderId="11" xfId="2" applyFont="1" applyFill="1" applyBorder="1" applyAlignment="1">
      <alignment horizontal="center" vertical="center"/>
    </xf>
    <xf numFmtId="0" fontId="9" fillId="8" borderId="11" xfId="2" applyFont="1" applyFill="1" applyBorder="1" applyAlignment="1">
      <alignment horizontal="center" vertical="center"/>
    </xf>
    <xf numFmtId="0" fontId="35" fillId="2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13" borderId="11" xfId="2" applyFont="1" applyFill="1" applyBorder="1" applyAlignment="1">
      <alignment horizontal="center" vertical="center"/>
    </xf>
    <xf numFmtId="0" fontId="12" fillId="13" borderId="11" xfId="2" applyFont="1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3" fillId="8" borderId="1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/>
    </xf>
    <xf numFmtId="0" fontId="3" fillId="5" borderId="12" xfId="2" applyFont="1" applyFill="1" applyBorder="1"/>
    <xf numFmtId="2" fontId="3" fillId="5" borderId="0" xfId="2" applyNumberFormat="1" applyFont="1" applyFill="1" applyAlignment="1">
      <alignment horizontal="center"/>
    </xf>
    <xf numFmtId="1" fontId="3" fillId="13" borderId="21" xfId="2" applyNumberFormat="1" applyFont="1" applyFill="1" applyBorder="1" applyAlignment="1">
      <alignment horizontal="center"/>
    </xf>
    <xf numFmtId="0" fontId="3" fillId="13" borderId="0" xfId="2" applyFont="1" applyFill="1" applyAlignment="1">
      <alignment horizontal="center"/>
    </xf>
    <xf numFmtId="164" fontId="3" fillId="13" borderId="0" xfId="2" applyNumberFormat="1" applyFont="1" applyFill="1" applyAlignment="1">
      <alignment horizontal="center"/>
    </xf>
    <xf numFmtId="164" fontId="3" fillId="13" borderId="7" xfId="2" applyNumberFormat="1" applyFont="1" applyFill="1" applyBorder="1" applyAlignment="1">
      <alignment horizontal="center"/>
    </xf>
    <xf numFmtId="2" fontId="3" fillId="13" borderId="0" xfId="2" applyNumberFormat="1" applyFont="1" applyFill="1" applyAlignment="1">
      <alignment horizontal="center"/>
    </xf>
    <xf numFmtId="2" fontId="12" fillId="13" borderId="8" xfId="2" applyNumberFormat="1" applyFont="1" applyFill="1" applyBorder="1" applyAlignment="1">
      <alignment horizontal="center"/>
    </xf>
    <xf numFmtId="2" fontId="3" fillId="13" borderId="8" xfId="2" applyNumberFormat="1" applyFont="1" applyFill="1" applyBorder="1" applyAlignment="1">
      <alignment horizontal="center"/>
    </xf>
    <xf numFmtId="165" fontId="3" fillId="13" borderId="0" xfId="2" applyNumberFormat="1" applyFont="1" applyFill="1" applyAlignment="1">
      <alignment horizontal="center"/>
    </xf>
    <xf numFmtId="165" fontId="3" fillId="13" borderId="12" xfId="2" applyNumberFormat="1" applyFont="1" applyFill="1" applyBorder="1" applyAlignment="1">
      <alignment horizontal="center"/>
    </xf>
    <xf numFmtId="2" fontId="12" fillId="2" borderId="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164" fontId="3" fillId="8" borderId="12" xfId="2" applyNumberFormat="1" applyFont="1" applyFill="1" applyBorder="1" applyAlignment="1">
      <alignment horizontal="center"/>
    </xf>
    <xf numFmtId="164" fontId="3" fillId="8" borderId="26" xfId="2" applyNumberFormat="1" applyFont="1" applyFill="1" applyBorder="1" applyAlignment="1">
      <alignment horizontal="center"/>
    </xf>
    <xf numFmtId="167" fontId="12" fillId="2" borderId="8" xfId="2" applyNumberFormat="1" applyFont="1" applyFill="1" applyBorder="1" applyAlignment="1">
      <alignment horizontal="center"/>
    </xf>
    <xf numFmtId="165" fontId="12" fillId="2" borderId="8" xfId="2" applyNumberFormat="1" applyFont="1" applyFill="1" applyBorder="1" applyAlignment="1">
      <alignment horizontal="center"/>
    </xf>
    <xf numFmtId="165" fontId="12" fillId="2" borderId="0" xfId="2" applyNumberFormat="1" applyFont="1" applyFill="1" applyAlignment="1">
      <alignment horizontal="center"/>
    </xf>
    <xf numFmtId="165" fontId="12" fillId="2" borderId="12" xfId="2" applyNumberFormat="1" applyFont="1" applyFill="1" applyBorder="1" applyAlignment="1">
      <alignment horizontal="center"/>
    </xf>
    <xf numFmtId="0" fontId="3" fillId="5" borderId="14" xfId="2" applyFont="1" applyFill="1" applyBorder="1"/>
    <xf numFmtId="0" fontId="12" fillId="2" borderId="27" xfId="2" applyFont="1" applyFill="1" applyBorder="1" applyAlignment="1">
      <alignment horizontal="center"/>
    </xf>
    <xf numFmtId="164" fontId="3" fillId="8" borderId="28" xfId="2" applyNumberFormat="1" applyFont="1" applyFill="1" applyBorder="1" applyAlignment="1">
      <alignment horizontal="center"/>
    </xf>
    <xf numFmtId="164" fontId="3" fillId="8" borderId="29" xfId="2" applyNumberFormat="1" applyFont="1" applyFill="1" applyBorder="1" applyAlignment="1">
      <alignment horizontal="center"/>
    </xf>
    <xf numFmtId="0" fontId="12" fillId="2" borderId="28" xfId="2" applyFont="1" applyFill="1" applyBorder="1" applyAlignment="1">
      <alignment horizontal="center"/>
    </xf>
    <xf numFmtId="165" fontId="12" fillId="2" borderId="14" xfId="2" applyNumberFormat="1" applyFont="1" applyFill="1" applyBorder="1" applyAlignment="1">
      <alignment horizontal="center"/>
    </xf>
    <xf numFmtId="165" fontId="12" fillId="2" borderId="5" xfId="2" applyNumberFormat="1" applyFont="1" applyFill="1" applyBorder="1" applyAlignment="1">
      <alignment horizontal="center"/>
    </xf>
    <xf numFmtId="165" fontId="12" fillId="2" borderId="6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2" fontId="3" fillId="4" borderId="6" xfId="2" applyNumberFormat="1" applyFont="1" applyFill="1" applyBorder="1" applyAlignment="1">
      <alignment horizontal="center"/>
    </xf>
    <xf numFmtId="2" fontId="3" fillId="4" borderId="6" xfId="2" applyNumberFormat="1" applyFont="1" applyFill="1" applyBorder="1"/>
    <xf numFmtId="0" fontId="3" fillId="4" borderId="6" xfId="2" applyFont="1" applyFill="1" applyBorder="1"/>
    <xf numFmtId="0" fontId="3" fillId="4" borderId="5" xfId="2" applyFont="1" applyFill="1" applyBorder="1"/>
    <xf numFmtId="0" fontId="3" fillId="4" borderId="7" xfId="2" applyFont="1" applyFill="1" applyBorder="1" applyAlignment="1">
      <alignment horizontal="center"/>
    </xf>
    <xf numFmtId="0" fontId="3" fillId="4" borderId="0" xfId="2" applyFont="1" applyFill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4" borderId="11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left"/>
    </xf>
    <xf numFmtId="2" fontId="3" fillId="0" borderId="0" xfId="2" applyNumberFormat="1" applyFont="1"/>
    <xf numFmtId="0" fontId="3" fillId="9" borderId="1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2" xfId="2" applyFont="1" applyFill="1" applyBorder="1" applyAlignment="1">
      <alignment horizontal="center" wrapText="1"/>
    </xf>
    <xf numFmtId="0" fontId="3" fillId="4" borderId="14" xfId="2" applyFont="1" applyFill="1" applyBorder="1" applyAlignment="1">
      <alignment horizontal="center" wrapText="1"/>
    </xf>
    <xf numFmtId="0" fontId="3" fillId="4" borderId="4" xfId="2" applyFont="1" applyFill="1" applyBorder="1" applyAlignment="1">
      <alignment horizontal="left"/>
    </xf>
    <xf numFmtId="0" fontId="3" fillId="4" borderId="5" xfId="2" applyFont="1" applyFill="1" applyBorder="1" applyAlignment="1">
      <alignment horizontal="center"/>
    </xf>
    <xf numFmtId="0" fontId="3" fillId="9" borderId="11" xfId="2" applyFont="1" applyFill="1" applyBorder="1" applyAlignment="1">
      <alignment horizontal="center" vertical="center"/>
    </xf>
    <xf numFmtId="0" fontId="3" fillId="4" borderId="13" xfId="2" applyFont="1" applyFill="1" applyBorder="1" applyAlignment="1">
      <alignment horizontal="center"/>
    </xf>
    <xf numFmtId="0" fontId="3" fillId="4" borderId="12" xfId="2" applyFont="1" applyFill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4" borderId="14" xfId="2" applyFont="1" applyFill="1" applyBorder="1" applyAlignment="1">
      <alignment horizontal="center"/>
    </xf>
    <xf numFmtId="0" fontId="0" fillId="0" borderId="8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0" borderId="5" xfId="0" applyFill="1" applyBorder="1"/>
    <xf numFmtId="2" fontId="0" fillId="0" borderId="5" xfId="0" applyNumberFormat="1" applyBorder="1" applyAlignment="1">
      <alignment horizontal="center"/>
    </xf>
    <xf numFmtId="0" fontId="9" fillId="5" borderId="11" xfId="2" applyFont="1" applyFill="1" applyBorder="1" applyAlignment="1">
      <alignment horizontal="center" vertical="center" wrapText="1"/>
    </xf>
    <xf numFmtId="2" fontId="3" fillId="5" borderId="7" xfId="2" applyNumberFormat="1" applyFont="1" applyFill="1" applyBorder="1" applyAlignment="1">
      <alignment horizontal="center"/>
    </xf>
    <xf numFmtId="2" fontId="3" fillId="5" borderId="0" xfId="2" applyNumberFormat="1" applyFont="1" applyFill="1" applyBorder="1" applyAlignment="1">
      <alignment horizontal="center"/>
    </xf>
    <xf numFmtId="0" fontId="3" fillId="13" borderId="0" xfId="2" applyFont="1" applyFill="1" applyBorder="1" applyAlignment="1">
      <alignment horizontal="center"/>
    </xf>
    <xf numFmtId="164" fontId="3" fillId="13" borderId="0" xfId="2" applyNumberFormat="1" applyFont="1" applyFill="1" applyBorder="1" applyAlignment="1">
      <alignment horizontal="center"/>
    </xf>
    <xf numFmtId="2" fontId="3" fillId="13" borderId="0" xfId="2" applyNumberFormat="1" applyFont="1" applyFill="1" applyBorder="1" applyAlignment="1">
      <alignment horizontal="center"/>
    </xf>
    <xf numFmtId="165" fontId="3" fillId="13" borderId="0" xfId="2" applyNumberFormat="1" applyFont="1" applyFill="1" applyBorder="1" applyAlignment="1">
      <alignment horizontal="center"/>
    </xf>
    <xf numFmtId="2" fontId="3" fillId="5" borderId="4" xfId="2" applyNumberFormat="1" applyFont="1" applyFill="1" applyBorder="1" applyAlignment="1">
      <alignment horizontal="center"/>
    </xf>
    <xf numFmtId="2" fontId="3" fillId="5" borderId="6" xfId="2" applyNumberFormat="1" applyFont="1" applyFill="1" applyBorder="1" applyAlignment="1">
      <alignment horizontal="center"/>
    </xf>
    <xf numFmtId="1" fontId="3" fillId="13" borderId="22" xfId="2" applyNumberFormat="1" applyFont="1" applyFill="1" applyBorder="1" applyAlignment="1">
      <alignment horizontal="center"/>
    </xf>
    <xf numFmtId="0" fontId="3" fillId="13" borderId="6" xfId="2" applyFont="1" applyFill="1" applyBorder="1" applyAlignment="1">
      <alignment horizontal="center"/>
    </xf>
    <xf numFmtId="164" fontId="3" fillId="13" borderId="6" xfId="2" applyNumberFormat="1" applyFont="1" applyFill="1" applyBorder="1" applyAlignment="1">
      <alignment horizontal="center"/>
    </xf>
    <xf numFmtId="164" fontId="3" fillId="13" borderId="4" xfId="2" applyNumberFormat="1" applyFont="1" applyFill="1" applyBorder="1" applyAlignment="1">
      <alignment horizontal="center"/>
    </xf>
    <xf numFmtId="2" fontId="3" fillId="13" borderId="6" xfId="2" applyNumberFormat="1" applyFont="1" applyFill="1" applyBorder="1" applyAlignment="1">
      <alignment horizontal="center"/>
    </xf>
    <xf numFmtId="2" fontId="12" fillId="13" borderId="5" xfId="2" applyNumberFormat="1" applyFont="1" applyFill="1" applyBorder="1" applyAlignment="1">
      <alignment horizontal="center"/>
    </xf>
    <xf numFmtId="2" fontId="3" fillId="13" borderId="5" xfId="2" applyNumberFormat="1" applyFont="1" applyFill="1" applyBorder="1" applyAlignment="1">
      <alignment horizontal="center"/>
    </xf>
    <xf numFmtId="165" fontId="3" fillId="13" borderId="6" xfId="2" applyNumberFormat="1" applyFont="1" applyFill="1" applyBorder="1" applyAlignment="1">
      <alignment horizontal="center"/>
    </xf>
    <xf numFmtId="165" fontId="3" fillId="13" borderId="14" xfId="2" applyNumberFormat="1" applyFont="1" applyFill="1" applyBorder="1" applyAlignment="1">
      <alignment horizontal="center"/>
    </xf>
    <xf numFmtId="0" fontId="9" fillId="5" borderId="12" xfId="2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1" xfId="2" applyFont="1" applyFill="1" applyBorder="1" applyAlignment="1">
      <alignment horizontal="center" vertical="center" wrapText="1"/>
    </xf>
    <xf numFmtId="0" fontId="35" fillId="2" borderId="8" xfId="2" applyFont="1" applyFill="1" applyBorder="1" applyAlignment="1">
      <alignment horizontal="center" vertical="center" wrapText="1"/>
    </xf>
    <xf numFmtId="0" fontId="35" fillId="2" borderId="5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/>
    </xf>
    <xf numFmtId="0" fontId="3" fillId="4" borderId="9" xfId="2" applyFont="1" applyFill="1" applyBorder="1" applyAlignment="1">
      <alignment horizontal="center"/>
    </xf>
    <xf numFmtId="0" fontId="3" fillId="4" borderId="10" xfId="2" applyFont="1" applyFill="1" applyBorder="1" applyAlignment="1">
      <alignment horizontal="center"/>
    </xf>
    <xf numFmtId="0" fontId="9" fillId="9" borderId="15" xfId="2" applyFont="1" applyFill="1" applyBorder="1" applyAlignment="1">
      <alignment horizontal="center" vertical="center"/>
    </xf>
    <xf numFmtId="0" fontId="9" fillId="9" borderId="10" xfId="2" applyFont="1" applyFill="1" applyBorder="1" applyAlignment="1">
      <alignment horizontal="center" vertical="center"/>
    </xf>
    <xf numFmtId="0" fontId="9" fillId="14" borderId="11" xfId="2" applyFont="1" applyFill="1" applyBorder="1" applyAlignment="1">
      <alignment horizontal="center" wrapText="1"/>
    </xf>
    <xf numFmtId="0" fontId="35" fillId="2" borderId="8" xfId="0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27" fillId="4" borderId="13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top" wrapText="1"/>
    </xf>
    <xf numFmtId="0" fontId="27" fillId="4" borderId="14" xfId="0" applyFont="1" applyFill="1" applyBorder="1" applyAlignment="1">
      <alignment horizontal="center" vertical="top" wrapText="1"/>
    </xf>
    <xf numFmtId="0" fontId="27" fillId="4" borderId="3" xfId="0" applyFont="1" applyFill="1" applyBorder="1" applyAlignment="1">
      <alignment horizontal="center" wrapText="1"/>
    </xf>
    <xf numFmtId="0" fontId="27" fillId="9" borderId="15" xfId="0" applyFont="1" applyFill="1" applyBorder="1" applyAlignment="1">
      <alignment horizontal="center" vertical="center"/>
    </xf>
    <xf numFmtId="0" fontId="27" fillId="9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/>
    </xf>
    <xf numFmtId="0" fontId="31" fillId="4" borderId="3" xfId="0" applyFont="1" applyFill="1" applyBorder="1" applyAlignment="1">
      <alignment horizontal="center" wrapText="1"/>
    </xf>
    <xf numFmtId="0" fontId="31" fillId="4" borderId="0" xfId="0" applyFont="1" applyFill="1" applyBorder="1" applyAlignment="1">
      <alignment horizontal="center" wrapText="1"/>
    </xf>
    <xf numFmtId="0" fontId="31" fillId="4" borderId="8" xfId="0" applyFont="1" applyFill="1" applyBorder="1" applyAlignment="1">
      <alignment horizontal="center" wrapText="1"/>
    </xf>
    <xf numFmtId="2" fontId="5" fillId="4" borderId="13" xfId="0" applyNumberFormat="1" applyFont="1" applyFill="1" applyBorder="1" applyAlignment="1">
      <alignment horizontal="center" wrapText="1"/>
    </xf>
    <xf numFmtId="2" fontId="5" fillId="4" borderId="14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0" xfId="2"/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ont>
        <color theme="1"/>
      </font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AUC ratio vs. 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</a:t>
            </a:r>
          </a:p>
        </c:rich>
      </c:tx>
      <c:layout>
        <c:manualLayout>
          <c:xMode val="edge"/>
          <c:yMode val="edge"/>
          <c:x val="0.3139813435482727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47545080755691"/>
          <c:y val="0.18509462691337059"/>
          <c:w val="0.77868049770229231"/>
          <c:h val="0.58445770610786318"/>
        </c:manualLayout>
      </c:layout>
      <c:scatterChart>
        <c:scatterStyle val="lineMarker"/>
        <c:varyColors val="0"/>
        <c:ser>
          <c:idx val="0"/>
          <c:order val="0"/>
          <c:tx>
            <c:v>I/Ki</c:v>
          </c:tx>
          <c:spPr>
            <a:ln w="28575">
              <a:noFill/>
            </a:ln>
          </c:spPr>
          <c:xVal>
            <c:numRef>
              <c:f>SensitivityAnalysis!$G$52:$G$62</c:f>
              <c:numCache>
                <c:formatCode>#,##0.000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SensitivityAnalysis!$H$52:$H$62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6-4F8A-AF6A-266E611F8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10040"/>
        <c:axId val="1"/>
      </c:scatterChart>
      <c:valAx>
        <c:axId val="68751004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510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AUC ratio vs.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x 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m,CYP</a:t>
            </a:r>
          </a:p>
        </c:rich>
      </c:tx>
      <c:layout>
        <c:manualLayout>
          <c:xMode val="edge"/>
          <c:yMode val="edge"/>
          <c:x val="0.29487082709702611"/>
          <c:y val="1.635973189301750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279730878710584"/>
          <c:y val="0.16689177656473922"/>
          <c:w val="0.79365827510997744"/>
          <c:h val="0.6083158623576960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SensitivityAnalysis!$G$67:$G$77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SensitivityAnalysis!$H$67:$H$77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6E3-84EF-91C1D7AB0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5488"/>
        <c:axId val="1"/>
      </c:scatterChart>
      <c:valAx>
        <c:axId val="68847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5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Reversible inhibitor:  AUC ratio vs. f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i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/f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gut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3033802870254128E-2"/>
          <c:y val="0.27882984367876157"/>
          <c:w val="0.8202247191011236"/>
          <c:h val="0.535063363026281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SensitivityAnalysis!$G$80:$G$91</c:f>
              <c:numCache>
                <c:formatCode>0.00</c:formatCode>
                <c:ptCount val="12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10</c:v>
                </c:pt>
                <c:pt idx="9">
                  <c:v>31.622776601683803</c:v>
                </c:pt>
                <c:pt idx="10">
                  <c:v>100</c:v>
                </c:pt>
                <c:pt idx="11">
                  <c:v>316.22776601683825</c:v>
                </c:pt>
              </c:numCache>
            </c:numRef>
          </c:xVal>
          <c:yVal>
            <c:numRef>
              <c:f>SensitivityAnalysis!$H$80:$H$91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C-4877-8B9F-B6DEEAEE1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477456"/>
        <c:axId val="1"/>
      </c:scatterChart>
      <c:valAx>
        <c:axId val="688477456"/>
        <c:scaling>
          <c:logBase val="10"/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0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77456"/>
        <c:crosses val="autoZero"/>
        <c:crossBetween val="midCat"/>
        <c:majorUnit val="50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inact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(min</a:t>
            </a:r>
            <a:r>
              <a:rPr lang="en-US" sz="900" b="1" i="0" u="none" strike="noStrike" baseline="30000">
                <a:solidFill>
                  <a:srgbClr val="000000"/>
                </a:solidFill>
                <a:latin typeface="Calibri"/>
                <a:cs typeface="Calibri"/>
              </a:rPr>
              <a:t>-1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 </a:t>
            </a:r>
          </a:p>
        </c:rich>
      </c:tx>
      <c:layout>
        <c:manualLayout>
          <c:xMode val="edge"/>
          <c:yMode val="edge"/>
          <c:x val="0.294099852903002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453185324312E-2"/>
          <c:y val="6.3505891550790186E-2"/>
          <c:w val="0.8042405297381896"/>
          <c:h val="0.6009776437519779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SensitivityAnalysis!$J$52:$J$68</c:f>
              <c:numCache>
                <c:formatCode>0.000</c:formatCode>
                <c:ptCount val="17"/>
                <c:pt idx="0">
                  <c:v>0.01</c:v>
                </c:pt>
                <c:pt idx="1">
                  <c:v>1.7782794100389226E-2</c:v>
                </c:pt>
                <c:pt idx="2">
                  <c:v>3.1622776601683784E-2</c:v>
                </c:pt>
                <c:pt idx="3">
                  <c:v>5.6234132519034884E-2</c:v>
                </c:pt>
                <c:pt idx="4">
                  <c:v>0.1</c:v>
                </c:pt>
                <c:pt idx="5">
                  <c:v>0.17782794100389224</c:v>
                </c:pt>
                <c:pt idx="6">
                  <c:v>0.31622776601683794</c:v>
                </c:pt>
                <c:pt idx="7">
                  <c:v>0.56234132519034907</c:v>
                </c:pt>
                <c:pt idx="8">
                  <c:v>1</c:v>
                </c:pt>
                <c:pt idx="9" formatCode="0.00">
                  <c:v>1.778279410038923</c:v>
                </c:pt>
                <c:pt idx="10" formatCode="0.00">
                  <c:v>3.1622776601683795</c:v>
                </c:pt>
                <c:pt idx="11" formatCode="0.00">
                  <c:v>5.6234132519034921</c:v>
                </c:pt>
                <c:pt idx="12" formatCode="0.00">
                  <c:v>10</c:v>
                </c:pt>
                <c:pt idx="13" formatCode="0.00">
                  <c:v>17.782794100389236</c:v>
                </c:pt>
                <c:pt idx="14" formatCode="0.00">
                  <c:v>31.622776601683803</c:v>
                </c:pt>
                <c:pt idx="15" formatCode="0.00">
                  <c:v>56.234132519034915</c:v>
                </c:pt>
                <c:pt idx="16" formatCode="0.00">
                  <c:v>100</c:v>
                </c:pt>
              </c:numCache>
            </c:numRef>
          </c:xVal>
          <c:yVal>
            <c:numRef>
              <c:f>SensitivityAnalysis!$K$52:$K$68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C-40BF-BF40-5DB7A428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9904"/>
        <c:axId val="1"/>
      </c:scatterChart>
      <c:valAx>
        <c:axId val="688589904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990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K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I 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(µM)</a:t>
            </a:r>
          </a:p>
        </c:rich>
      </c:tx>
      <c:layout>
        <c:manualLayout>
          <c:xMode val="edge"/>
          <c:yMode val="edge"/>
          <c:x val="0.2636699341153784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43720420121E-2"/>
          <c:y val="0.14358449895600539"/>
          <c:w val="0.8042405297381896"/>
          <c:h val="0.60018383702524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SensitivityAnalysis!$J$72:$J$84</c:f>
              <c:numCache>
                <c:formatCode>0.000</c:formatCode>
                <c:ptCount val="13"/>
                <c:pt idx="0">
                  <c:v>1E-3</c:v>
                </c:pt>
                <c:pt idx="1">
                  <c:v>3.1622776601683764E-3</c:v>
                </c:pt>
                <c:pt idx="2">
                  <c:v>0.01</c:v>
                </c:pt>
                <c:pt idx="3">
                  <c:v>3.1622776601683784E-2</c:v>
                </c:pt>
                <c:pt idx="4">
                  <c:v>0.1</c:v>
                </c:pt>
                <c:pt idx="5">
                  <c:v>0.31622776601683794</c:v>
                </c:pt>
                <c:pt idx="6">
                  <c:v>1</c:v>
                </c:pt>
                <c:pt idx="7">
                  <c:v>3.1622776601683795</c:v>
                </c:pt>
                <c:pt idx="8">
                  <c:v>31.622776601683803</c:v>
                </c:pt>
                <c:pt idx="9">
                  <c:v>100</c:v>
                </c:pt>
                <c:pt idx="10">
                  <c:v>316.22776601683825</c:v>
                </c:pt>
                <c:pt idx="11" formatCode="0.0">
                  <c:v>1000</c:v>
                </c:pt>
                <c:pt idx="12" formatCode="0.0">
                  <c:v>3162.2776601683804</c:v>
                </c:pt>
              </c:numCache>
            </c:numRef>
          </c:xVal>
          <c:yVal>
            <c:numRef>
              <c:f>SensitivityAnalysis!$K$72:$K$84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CE7-980C-62F075341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92200"/>
        <c:axId val="1"/>
      </c:scatterChart>
      <c:valAx>
        <c:axId val="688592200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922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TDI: AUC ratio vs.  [I]</a:t>
            </a:r>
            <a:r>
              <a:rPr lang="en-US" sz="9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u</a:t>
            </a:r>
            <a:r>
              <a:rPr lang="en-US" sz="9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(µM)</a:t>
            </a:r>
          </a:p>
        </c:rich>
      </c:tx>
      <c:layout>
        <c:manualLayout>
          <c:xMode val="edge"/>
          <c:yMode val="edge"/>
          <c:x val="0.2572990450661752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897504337381541E-2"/>
          <c:y val="0.13426059504799662"/>
          <c:w val="0.8042405297381896"/>
          <c:h val="0.6095075528146394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SensitivityAnalysis!$J$88:$J$99</c:f>
              <c:numCache>
                <c:formatCode>0.000</c:formatCode>
                <c:ptCount val="12"/>
                <c:pt idx="0">
                  <c:v>3.1622776601683783E-4</c:v>
                </c:pt>
                <c:pt idx="1">
                  <c:v>1E-3</c:v>
                </c:pt>
                <c:pt idx="2">
                  <c:v>3.1622776601683764E-3</c:v>
                </c:pt>
                <c:pt idx="3">
                  <c:v>0.01</c:v>
                </c:pt>
                <c:pt idx="4">
                  <c:v>3.1622776601683784E-2</c:v>
                </c:pt>
                <c:pt idx="5">
                  <c:v>0.1</c:v>
                </c:pt>
                <c:pt idx="6">
                  <c:v>0.31622776601683794</c:v>
                </c:pt>
                <c:pt idx="7">
                  <c:v>1</c:v>
                </c:pt>
                <c:pt idx="8">
                  <c:v>3.1622776601683795</c:v>
                </c:pt>
                <c:pt idx="9">
                  <c:v>10</c:v>
                </c:pt>
                <c:pt idx="10">
                  <c:v>31.622776601683803</c:v>
                </c:pt>
                <c:pt idx="11">
                  <c:v>100</c:v>
                </c:pt>
              </c:numCache>
            </c:numRef>
          </c:xVal>
          <c:yVal>
            <c:numRef>
              <c:f>SensitivityAnalysis!$K$88:$K$99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E-4FE0-9945-F7EBF5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585968"/>
        <c:axId val="1"/>
      </c:scatterChart>
      <c:valAx>
        <c:axId val="688585968"/>
        <c:scaling>
          <c:logBase val="10"/>
          <c:orientation val="minMax"/>
        </c:scaling>
        <c:delete val="0"/>
        <c:axPos val="b"/>
        <c:numFmt formatCode="0.E+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5859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% enzyme contribution to hepatic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090-4820-9ED8-C231C0CF4CA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8090-4820-9ED8-C231C0CF4CA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8090-4820-9ED8-C231C0CF4CA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8090-4820-9ED8-C231C0CF4CA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8090-4820-9ED8-C231C0CF4CA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8090-4820-9ED8-C231C0CF4CA5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rCYPs'!$M$5:$M$10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0.67353763772630904</c:v>
                </c:pt>
                <c:pt idx="3">
                  <c:v>0.22016303211872087</c:v>
                </c:pt>
                <c:pt idx="4">
                  <c:v>0.10629933015497009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90-4820-9ED8-C231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79861203790205"/>
          <c:y val="0.38823761000463175"/>
          <c:w val="0.11440711330575204"/>
          <c:h val="0.49706160259379339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% enzyme contribution to intestinal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CLint (fm,CYP)</a:t>
            </a:r>
          </a:p>
        </c:rich>
      </c:tx>
      <c:overlay val="0"/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'Enzymes-fm,CYP from rCYPs'!$M$2</c:f>
              <c:strCache>
                <c:ptCount val="1"/>
                <c:pt idx="0">
                  <c:v>Enzyme contribution to total CLint (fm,CYP)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7FE-46A4-BAD9-55C24AB298A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7FE-46A4-BAD9-55C24AB298A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7FE-46A4-BAD9-55C24AB298A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7FE-46A4-BAD9-55C24AB298A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7FE-46A4-BAD9-55C24AB298A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7FE-46A4-BAD9-55C24AB298A1}"/>
              </c:ext>
            </c:extLst>
          </c:dPt>
          <c:cat>
            <c:strRef>
              <c:f>'Enzymes-fm,CYP from rCYPs'!$Y$5:$Y$10</c:f>
              <c:strCache>
                <c:ptCount val="6"/>
                <c:pt idx="0">
                  <c:v>1A2</c:v>
                </c:pt>
                <c:pt idx="1">
                  <c:v>2C8</c:v>
                </c:pt>
                <c:pt idx="2">
                  <c:v>2C9</c:v>
                </c:pt>
                <c:pt idx="3">
                  <c:v>2C19</c:v>
                </c:pt>
                <c:pt idx="4">
                  <c:v>2D6</c:v>
                </c:pt>
                <c:pt idx="5">
                  <c:v>3A4</c:v>
                </c:pt>
              </c:strCache>
            </c:strRef>
          </c:cat>
          <c:val>
            <c:numRef>
              <c:f>'Enzymes-fm,CYP from rCYPs'!$N$5:$N$10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0.7760182573771961</c:v>
                </c:pt>
                <c:pt idx="3">
                  <c:v>0.15745991250012459</c:v>
                </c:pt>
                <c:pt idx="4">
                  <c:v>6.6521830122679204E-2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E-46A4-BAD9-55C24AB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375137099546551"/>
          <c:y val="0.35190615835777128"/>
          <c:w val="0.16666688493460147"/>
          <c:h val="0.5835777126099707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H$50" horiz="1" max="10" page="0" val="0"/>
</file>

<file path=xl/ctrlProps/ctrlProp2.xml><?xml version="1.0" encoding="utf-8"?>
<formControlPr xmlns="http://schemas.microsoft.com/office/spreadsheetml/2009/9/main" objectType="Scroll" dx="16" fmlaLink="$H$64" horiz="1" max="10" page="0" val="0"/>
</file>

<file path=xl/ctrlProps/ctrlProp3.xml><?xml version="1.0" encoding="utf-8"?>
<formControlPr xmlns="http://schemas.microsoft.com/office/spreadsheetml/2009/9/main" objectType="Scroll" dx="16" fmlaLink="$H$78" horiz="1" max="110" page="0"/>
</file>

<file path=xl/ctrlProps/ctrlProp4.xml><?xml version="1.0" encoding="utf-8"?>
<formControlPr xmlns="http://schemas.microsoft.com/office/spreadsheetml/2009/9/main" objectType="Scroll" dx="16" fmlaLink="$K$69" horiz="1" max="13" page="4" val="0"/>
</file>

<file path=xl/ctrlProps/ctrlProp5.xml><?xml version="1.0" encoding="utf-8"?>
<formControlPr xmlns="http://schemas.microsoft.com/office/spreadsheetml/2009/9/main" objectType="Scroll" dx="16" fmlaLink="$K$85" horiz="1" max="12" page="5" val="0"/>
</file>

<file path=xl/ctrlProps/ctrlProp6.xml><?xml version="1.0" encoding="utf-8"?>
<formControlPr xmlns="http://schemas.microsoft.com/office/spreadsheetml/2009/9/main" objectType="Scroll" dx="16" fmlaLink="$K$50" horiz="1" max="32" page="5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341952</xdr:colOff>
      <xdr:row>0</xdr:row>
      <xdr:rowOff>172395</xdr:rowOff>
    </xdr:from>
    <xdr:ext cx="8633756" cy="11134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4802" y="172395"/>
          <a:ext cx="8640123" cy="111347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100" b="1" u="sng">
              <a:latin typeface="Calibri" pitchFamily="34" charset="0"/>
            </a:rPr>
            <a:t>Instructions</a:t>
          </a:r>
          <a:r>
            <a:rPr lang="sv-SE" sz="1100" b="1" u="sng" baseline="0">
              <a:latin typeface="Calibri" pitchFamily="34" charset="0"/>
            </a:rPr>
            <a:t> for use: </a:t>
          </a:r>
          <a:endParaRPr lang="sv-SE" sz="1100" u="sng" baseline="0">
            <a:latin typeface="Calibri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latin typeface="Calibri" pitchFamily="34" charset="0"/>
            </a:rPr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Compound ID/IDs in Column A, starting at A9.</a:t>
          </a:r>
          <a:endParaRPr lang="en-GB">
            <a:effectLst/>
          </a:endParaRPr>
        </a:p>
        <a:p>
          <a:pPr algn="l"/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2. Use pull down menus  in cells B4 - D4 to select substrate/i</a:t>
          </a:r>
          <a:r>
            <a:rPr lang="sv-SE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nhibitor</a:t>
          </a:r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 of interest and the driver inhibitor concentration, [I]. </a:t>
          </a:r>
          <a:endParaRPr lang="sv-SE" sz="1100" baseline="0">
            <a:latin typeface="Calibri" pitchFamily="34" charset="0"/>
          </a:endParaRPr>
        </a:p>
        <a:p>
          <a:pPr algn="l"/>
          <a:r>
            <a:rPr lang="sv-SE" sz="1100" baseline="0">
              <a:latin typeface="Calibri" pitchFamily="34" charset="0"/>
            </a:rPr>
            <a:t>3. Fill in the compound (substrate or inhibitor) data. (Equations and notations used in this sheet can be found in the worksheet 'Equations').</a:t>
          </a:r>
          <a:endParaRPr lang="sv-SE" sz="1100" baseline="0">
            <a:solidFill>
              <a:schemeClr val="tx1"/>
            </a:solidFill>
            <a:latin typeface="Calibri" pitchFamily="34" charset="0"/>
            <a:ea typeface="+mn-ea"/>
            <a:cs typeface="+mn-cs"/>
          </a:endParaRPr>
        </a:p>
        <a:p>
          <a:r>
            <a:rPr lang="sv-SE" sz="11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4. To update Enzyme/Substrate/Inhibitor information for the list in B4 and C4 use the appropriate worksheets.</a:t>
          </a:r>
        </a:p>
      </xdr:txBody>
    </xdr:sp>
    <xdr:clientData/>
  </xdr:oneCellAnchor>
  <xdr:oneCellAnchor>
    <xdr:from>
      <xdr:col>8</xdr:col>
      <xdr:colOff>148828</xdr:colOff>
      <xdr:row>4</xdr:row>
      <xdr:rowOff>195263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46328" y="13827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57150</xdr:rowOff>
    </xdr:from>
    <xdr:to>
      <xdr:col>5</xdr:col>
      <xdr:colOff>177800</xdr:colOff>
      <xdr:row>23</xdr:row>
      <xdr:rowOff>12700</xdr:rowOff>
    </xdr:to>
    <xdr:graphicFrame macro="">
      <xdr:nvGraphicFramePr>
        <xdr:cNvPr id="3672722" name="Chart 3">
          <a:extLst>
            <a:ext uri="{FF2B5EF4-FFF2-40B4-BE49-F238E27FC236}">
              <a16:creationId xmlns:a16="http://schemas.microsoft.com/office/drawing/2014/main" id="{00000000-0008-0000-0200-000092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12</xdr:row>
      <xdr:rowOff>76200</xdr:rowOff>
    </xdr:from>
    <xdr:to>
      <xdr:col>11</xdr:col>
      <xdr:colOff>647700</xdr:colOff>
      <xdr:row>23</xdr:row>
      <xdr:rowOff>12700</xdr:rowOff>
    </xdr:to>
    <xdr:graphicFrame macro="">
      <xdr:nvGraphicFramePr>
        <xdr:cNvPr id="3672723" name="Chart 3">
          <a:extLst>
            <a:ext uri="{FF2B5EF4-FFF2-40B4-BE49-F238E27FC236}">
              <a16:creationId xmlns:a16="http://schemas.microsoft.com/office/drawing/2014/main" id="{00000000-0008-0000-0200-000093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12</xdr:row>
      <xdr:rowOff>38100</xdr:rowOff>
    </xdr:from>
    <xdr:to>
      <xdr:col>22</xdr:col>
      <xdr:colOff>463550</xdr:colOff>
      <xdr:row>23</xdr:row>
      <xdr:rowOff>0</xdr:rowOff>
    </xdr:to>
    <xdr:graphicFrame macro="">
      <xdr:nvGraphicFramePr>
        <xdr:cNvPr id="3672724" name="Chart 3">
          <a:extLst>
            <a:ext uri="{FF2B5EF4-FFF2-40B4-BE49-F238E27FC236}">
              <a16:creationId xmlns:a16="http://schemas.microsoft.com/office/drawing/2014/main" id="{00000000-0008-0000-0200-000094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</xdr:colOff>
      <xdr:row>30</xdr:row>
      <xdr:rowOff>19050</xdr:rowOff>
    </xdr:from>
    <xdr:to>
      <xdr:col>5</xdr:col>
      <xdr:colOff>209550</xdr:colOff>
      <xdr:row>40</xdr:row>
      <xdr:rowOff>76200</xdr:rowOff>
    </xdr:to>
    <xdr:graphicFrame macro="">
      <xdr:nvGraphicFramePr>
        <xdr:cNvPr id="3672725" name="Chart 3">
          <a:extLst>
            <a:ext uri="{FF2B5EF4-FFF2-40B4-BE49-F238E27FC236}">
              <a16:creationId xmlns:a16="http://schemas.microsoft.com/office/drawing/2014/main" id="{00000000-0008-0000-0200-000095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</xdr:col>
      <xdr:colOff>326464</xdr:colOff>
      <xdr:row>0</xdr:row>
      <xdr:rowOff>9525</xdr:rowOff>
    </xdr:from>
    <xdr:ext cx="8989006" cy="10413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76064" y="9525"/>
          <a:ext cx="8982635" cy="1047749"/>
        </a:xfrm>
        <a:prstGeom prst="rect">
          <a:avLst/>
        </a:prstGeom>
        <a:solidFill>
          <a:schemeClr val="accent2">
            <a:lumMod val="20000"/>
            <a:lumOff val="80000"/>
            <a:alpha val="33000"/>
          </a:schemeClr>
        </a:solidFill>
        <a:scene3d>
          <a:camera prst="orthographicFront"/>
          <a:lightRig rig="sunrise" dir="t"/>
        </a:scene3d>
        <a:sp3d extrusionH="6350" contourW="6350">
          <a:bevelT w="12700"/>
          <a:bevelB w="635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sv-SE" sz="1000" b="1" u="sng">
              <a:latin typeface="Calibri" pitchFamily="34" charset="0"/>
            </a:rPr>
            <a:t>Instructions</a:t>
          </a:r>
          <a:r>
            <a:rPr lang="sv-SE" sz="1000" b="1" u="sng" baseline="0">
              <a:latin typeface="Calibri" pitchFamily="34" charset="0"/>
            </a:rPr>
            <a:t> for use</a:t>
          </a:r>
          <a:endParaRPr lang="sv-SE" sz="1000" u="sng" baseline="0">
            <a:latin typeface="Calibri" pitchFamily="34" charset="0"/>
          </a:endParaRP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1. Use pull down menus  in cells A4 - D4 to select the type of DDI, substrate/inhibitor and the type of inhibitor concentration, [I]. 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2. Fill in the M IDs starting at A9.</a:t>
          </a:r>
        </a:p>
        <a:p>
          <a:pPr fontAlgn="base"/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3. Fill in the M compound (substrate or inhibitor) data. (Equations and notations used in this sheet can be found in the worksheet 'Equations').</a:t>
          </a:r>
        </a:p>
        <a:p>
          <a:r>
            <a:rPr lang="en-US" sz="1000" baseline="0">
              <a:solidFill>
                <a:schemeClr val="tx1"/>
              </a:solidFill>
              <a:latin typeface="+mn-lt"/>
              <a:ea typeface="+mn-ea"/>
              <a:cs typeface="+mn-cs"/>
            </a:rPr>
            <a:t>4. To change the known Enzyme/Substrate/Inhibitor information use the appropriate worksheets.</a:t>
          </a:r>
          <a:endParaRPr lang="en-US" sz="1000"/>
        </a:p>
        <a:p>
          <a:r>
            <a:rPr lang="sv-SE" sz="1000" baseline="0">
              <a:solidFill>
                <a:schemeClr val="tx1"/>
              </a:solidFill>
              <a:latin typeface="Calibri" pitchFamily="34" charset="0"/>
              <a:ea typeface="+mn-ea"/>
              <a:cs typeface="+mn-cs"/>
            </a:rPr>
            <a:t>5. Sensitivity analysis for the compound in row 9 is shown in plots. Use the scroll to examine the impact of changing parameters on AUC ratio.</a:t>
          </a:r>
          <a:endParaRPr lang="sv-SE" sz="1000">
            <a:latin typeface="Calibri" pitchFamily="34" charset="0"/>
          </a:endParaRPr>
        </a:p>
        <a:p>
          <a:endParaRPr lang="sv-SE" sz="1000">
            <a:latin typeface="Calibri" pitchFamily="34" charset="0"/>
          </a:endParaRPr>
        </a:p>
      </xdr:txBody>
    </xdr:sp>
    <xdr:clientData/>
  </xdr:oneCellAnchor>
  <xdr:oneCellAnchor>
    <xdr:from>
      <xdr:col>0</xdr:col>
      <xdr:colOff>0</xdr:colOff>
      <xdr:row>4</xdr:row>
      <xdr:rowOff>131763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</xdr:col>
      <xdr:colOff>107950</xdr:colOff>
      <xdr:row>29</xdr:row>
      <xdr:rowOff>44450</xdr:rowOff>
    </xdr:from>
    <xdr:to>
      <xdr:col>11</xdr:col>
      <xdr:colOff>660400</xdr:colOff>
      <xdr:row>40</xdr:row>
      <xdr:rowOff>69850</xdr:rowOff>
    </xdr:to>
    <xdr:graphicFrame macro="">
      <xdr:nvGraphicFramePr>
        <xdr:cNvPr id="3672728" name="Chart 3">
          <a:extLst>
            <a:ext uri="{FF2B5EF4-FFF2-40B4-BE49-F238E27FC236}">
              <a16:creationId xmlns:a16="http://schemas.microsoft.com/office/drawing/2014/main" id="{00000000-0008-0000-0200-000098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101600</xdr:colOff>
      <xdr:row>30</xdr:row>
      <xdr:rowOff>0</xdr:rowOff>
    </xdr:from>
    <xdr:to>
      <xdr:col>22</xdr:col>
      <xdr:colOff>431800</xdr:colOff>
      <xdr:row>40</xdr:row>
      <xdr:rowOff>76200</xdr:rowOff>
    </xdr:to>
    <xdr:graphicFrame macro="">
      <xdr:nvGraphicFramePr>
        <xdr:cNvPr id="3672729" name="Chart 3">
          <a:extLst>
            <a:ext uri="{FF2B5EF4-FFF2-40B4-BE49-F238E27FC236}">
              <a16:creationId xmlns:a16="http://schemas.microsoft.com/office/drawing/2014/main" id="{00000000-0008-0000-0200-0000990A3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148828</xdr:colOff>
      <xdr:row>4</xdr:row>
      <xdr:rowOff>131763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197078" y="107791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23</xdr:row>
          <xdr:rowOff>50800</xdr:rowOff>
        </xdr:from>
        <xdr:to>
          <xdr:col>5</xdr:col>
          <xdr:colOff>177800</xdr:colOff>
          <xdr:row>24</xdr:row>
          <xdr:rowOff>114300</xdr:rowOff>
        </xdr:to>
        <xdr:sp macro="" textlink="">
          <xdr:nvSpPr>
            <xdr:cNvPr id="820225" name="Scroll Bar 1" hidden="1">
              <a:extLst>
                <a:ext uri="{63B3BB69-23CF-44E3-9099-C40C66FF867C}">
                  <a14:compatExt spid="_x0000_s820225"/>
                </a:ext>
                <a:ext uri="{FF2B5EF4-FFF2-40B4-BE49-F238E27FC236}">
                  <a16:creationId xmlns:a16="http://schemas.microsoft.com/office/drawing/2014/main" id="{00000000-0008-0000-0200-000001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23</xdr:row>
          <xdr:rowOff>50800</xdr:rowOff>
        </xdr:from>
        <xdr:to>
          <xdr:col>11</xdr:col>
          <xdr:colOff>565150</xdr:colOff>
          <xdr:row>24</xdr:row>
          <xdr:rowOff>114300</xdr:rowOff>
        </xdr:to>
        <xdr:sp macro="" textlink="">
          <xdr:nvSpPr>
            <xdr:cNvPr id="820226" name="Scroll Bar 2" hidden="1">
              <a:extLst>
                <a:ext uri="{63B3BB69-23CF-44E3-9099-C40C66FF867C}">
                  <a14:compatExt spid="_x0000_s820226"/>
                </a:ext>
                <a:ext uri="{FF2B5EF4-FFF2-40B4-BE49-F238E27FC236}">
                  <a16:creationId xmlns:a16="http://schemas.microsoft.com/office/drawing/2014/main" id="{00000000-0008-0000-0200-000002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23</xdr:row>
          <xdr:rowOff>38100</xdr:rowOff>
        </xdr:from>
        <xdr:to>
          <xdr:col>22</xdr:col>
          <xdr:colOff>476250</xdr:colOff>
          <xdr:row>24</xdr:row>
          <xdr:rowOff>107950</xdr:rowOff>
        </xdr:to>
        <xdr:sp macro="" textlink="">
          <xdr:nvSpPr>
            <xdr:cNvPr id="820227" name="Scroll Bar 3" hidden="1">
              <a:extLst>
                <a:ext uri="{63B3BB69-23CF-44E3-9099-C40C66FF867C}">
                  <a14:compatExt spid="_x0000_s820227"/>
                </a:ext>
                <a:ext uri="{FF2B5EF4-FFF2-40B4-BE49-F238E27FC236}">
                  <a16:creationId xmlns:a16="http://schemas.microsoft.com/office/drawing/2014/main" id="{00000000-0008-0000-0200-000003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40</xdr:row>
          <xdr:rowOff>101600</xdr:rowOff>
        </xdr:from>
        <xdr:to>
          <xdr:col>11</xdr:col>
          <xdr:colOff>495300</xdr:colOff>
          <xdr:row>41</xdr:row>
          <xdr:rowOff>133350</xdr:rowOff>
        </xdr:to>
        <xdr:sp macro="" textlink="">
          <xdr:nvSpPr>
            <xdr:cNvPr id="820229" name="Scroll Bar 5" hidden="1">
              <a:extLst>
                <a:ext uri="{63B3BB69-23CF-44E3-9099-C40C66FF867C}">
                  <a14:compatExt spid="_x0000_s820229"/>
                </a:ext>
                <a:ext uri="{FF2B5EF4-FFF2-40B4-BE49-F238E27FC236}">
                  <a16:creationId xmlns:a16="http://schemas.microsoft.com/office/drawing/2014/main" id="{00000000-0008-0000-0200-000005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40</xdr:row>
          <xdr:rowOff>101600</xdr:rowOff>
        </xdr:from>
        <xdr:to>
          <xdr:col>22</xdr:col>
          <xdr:colOff>381000</xdr:colOff>
          <xdr:row>41</xdr:row>
          <xdr:rowOff>133350</xdr:rowOff>
        </xdr:to>
        <xdr:sp macro="" textlink="">
          <xdr:nvSpPr>
            <xdr:cNvPr id="820230" name="Scroll Bar 6" hidden="1">
              <a:extLst>
                <a:ext uri="{63B3BB69-23CF-44E3-9099-C40C66FF867C}">
                  <a14:compatExt spid="_x0000_s820230"/>
                </a:ext>
                <a:ext uri="{FF2B5EF4-FFF2-40B4-BE49-F238E27FC236}">
                  <a16:creationId xmlns:a16="http://schemas.microsoft.com/office/drawing/2014/main" id="{00000000-0008-0000-0200-00000684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40</xdr:row>
          <xdr:rowOff>127000</xdr:rowOff>
        </xdr:from>
        <xdr:to>
          <xdr:col>5</xdr:col>
          <xdr:colOff>209550</xdr:colOff>
          <xdr:row>41</xdr:row>
          <xdr:rowOff>152400</xdr:rowOff>
        </xdr:to>
        <xdr:sp macro="" textlink="">
          <xdr:nvSpPr>
            <xdr:cNvPr id="820491" name="Scroll Bar 267" hidden="1">
              <a:extLst>
                <a:ext uri="{63B3BB69-23CF-44E3-9099-C40C66FF867C}">
                  <a14:compatExt spid="_x0000_s820491"/>
                </a:ext>
                <a:ext uri="{FF2B5EF4-FFF2-40B4-BE49-F238E27FC236}">
                  <a16:creationId xmlns:a16="http://schemas.microsoft.com/office/drawing/2014/main" id="{00000000-0008-0000-0200-00000B85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228600</xdr:rowOff>
    </xdr:from>
    <xdr:to>
      <xdr:col>3</xdr:col>
      <xdr:colOff>171450</xdr:colOff>
      <xdr:row>1</xdr:row>
      <xdr:rowOff>228600</xdr:rowOff>
    </xdr:to>
    <xdr:cxnSp macro="">
      <xdr:nvCxnSpPr>
        <xdr:cNvPr id="3789291" name="Straight Arrow Connector 2">
          <a:extLst>
            <a:ext uri="{FF2B5EF4-FFF2-40B4-BE49-F238E27FC236}">
              <a16:creationId xmlns:a16="http://schemas.microsoft.com/office/drawing/2014/main" id="{00000000-0008-0000-0300-0000EBD13900}"/>
            </a:ext>
          </a:extLst>
        </xdr:cNvPr>
        <xdr:cNvCxnSpPr>
          <a:cxnSpLocks noChangeShapeType="1"/>
        </xdr:cNvCxnSpPr>
      </xdr:nvCxnSpPr>
      <xdr:spPr bwMode="auto">
        <a:xfrm>
          <a:off x="1803400" y="431800"/>
          <a:ext cx="3238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146050</xdr:rowOff>
    </xdr:from>
    <xdr:to>
      <xdr:col>5</xdr:col>
      <xdr:colOff>361950</xdr:colOff>
      <xdr:row>8</xdr:row>
      <xdr:rowOff>146050</xdr:rowOff>
    </xdr:to>
    <xdr:cxnSp macro="">
      <xdr:nvCxnSpPr>
        <xdr:cNvPr id="3789292" name="Straight Arrow Connector 4">
          <a:extLst>
            <a:ext uri="{FF2B5EF4-FFF2-40B4-BE49-F238E27FC236}">
              <a16:creationId xmlns:a16="http://schemas.microsoft.com/office/drawing/2014/main" id="{00000000-0008-0000-0300-0000ECD13900}"/>
            </a:ext>
          </a:extLst>
        </xdr:cNvPr>
        <xdr:cNvCxnSpPr>
          <a:cxnSpLocks noChangeShapeType="1"/>
        </xdr:cNvCxnSpPr>
      </xdr:nvCxnSpPr>
      <xdr:spPr bwMode="auto">
        <a:xfrm>
          <a:off x="3244850" y="17780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361950</xdr:colOff>
      <xdr:row>29</xdr:row>
      <xdr:rowOff>0</xdr:rowOff>
    </xdr:to>
    <xdr:cxnSp macro="">
      <xdr:nvCxnSpPr>
        <xdr:cNvPr id="3789293" name="Straight Arrow Connector 5">
          <a:extLst>
            <a:ext uri="{FF2B5EF4-FFF2-40B4-BE49-F238E27FC236}">
              <a16:creationId xmlns:a16="http://schemas.microsoft.com/office/drawing/2014/main" id="{00000000-0008-0000-0300-0000EDD13900}"/>
            </a:ext>
          </a:extLst>
        </xdr:cNvPr>
        <xdr:cNvCxnSpPr>
          <a:cxnSpLocks noChangeShapeType="1"/>
        </xdr:cNvCxnSpPr>
      </xdr:nvCxnSpPr>
      <xdr:spPr bwMode="auto">
        <a:xfrm>
          <a:off x="3244850" y="50292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914400</xdr:colOff>
      <xdr:row>28</xdr:row>
      <xdr:rowOff>101600</xdr:rowOff>
    </xdr:from>
    <xdr:to>
      <xdr:col>6</xdr:col>
      <xdr:colOff>330200</xdr:colOff>
      <xdr:row>28</xdr:row>
      <xdr:rowOff>101600</xdr:rowOff>
    </xdr:to>
    <xdr:cxnSp macro="">
      <xdr:nvCxnSpPr>
        <xdr:cNvPr id="3789294" name="Straight Arrow Connector 6">
          <a:extLst>
            <a:ext uri="{FF2B5EF4-FFF2-40B4-BE49-F238E27FC236}">
              <a16:creationId xmlns:a16="http://schemas.microsoft.com/office/drawing/2014/main" id="{00000000-0008-0000-0300-0000EED13900}"/>
            </a:ext>
          </a:extLst>
        </xdr:cNvPr>
        <xdr:cNvCxnSpPr>
          <a:cxnSpLocks noChangeShapeType="1"/>
        </xdr:cNvCxnSpPr>
      </xdr:nvCxnSpPr>
      <xdr:spPr bwMode="auto">
        <a:xfrm>
          <a:off x="4159250" y="49530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349250</xdr:colOff>
      <xdr:row>37</xdr:row>
      <xdr:rowOff>0</xdr:rowOff>
    </xdr:to>
    <xdr:cxnSp macro="">
      <xdr:nvCxnSpPr>
        <xdr:cNvPr id="3789295" name="Straight Arrow Connector 7">
          <a:extLst>
            <a:ext uri="{FF2B5EF4-FFF2-40B4-BE49-F238E27FC236}">
              <a16:creationId xmlns:a16="http://schemas.microsoft.com/office/drawing/2014/main" id="{00000000-0008-0000-0300-0000EFD13900}"/>
            </a:ext>
          </a:extLst>
        </xdr:cNvPr>
        <xdr:cNvCxnSpPr>
          <a:cxnSpLocks noChangeShapeType="1"/>
        </xdr:cNvCxnSpPr>
      </xdr:nvCxnSpPr>
      <xdr:spPr bwMode="auto">
        <a:xfrm>
          <a:off x="4178300" y="6527800"/>
          <a:ext cx="3492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171450</xdr:colOff>
      <xdr:row>1</xdr:row>
      <xdr:rowOff>104775</xdr:rowOff>
    </xdr:from>
    <xdr:ext cx="34400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127250" y="3079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(1)</a:t>
          </a:r>
        </a:p>
      </xdr:txBody>
    </xdr:sp>
    <xdr:clientData/>
  </xdr:oneCellAnchor>
  <xdr:oneCellAnchor>
    <xdr:from>
      <xdr:col>6</xdr:col>
      <xdr:colOff>346075</xdr:colOff>
      <xdr:row>27</xdr:row>
      <xdr:rowOff>152400</xdr:rowOff>
    </xdr:from>
    <xdr:ext cx="3440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524375" y="48260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(4)</a:t>
          </a:r>
        </a:p>
      </xdr:txBody>
    </xdr:sp>
    <xdr:clientData/>
  </xdr:oneCellAnchor>
  <xdr:oneCellAnchor>
    <xdr:from>
      <xdr:col>6</xdr:col>
      <xdr:colOff>346075</xdr:colOff>
      <xdr:row>36</xdr:row>
      <xdr:rowOff>38100</xdr:rowOff>
    </xdr:from>
    <xdr:ext cx="344005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4524375" y="63563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(5)</a:t>
          </a:r>
        </a:p>
      </xdr:txBody>
    </xdr:sp>
    <xdr:clientData/>
  </xdr:oneCellAnchor>
  <xdr:oneCellAnchor>
    <xdr:from>
      <xdr:col>5</xdr:col>
      <xdr:colOff>333375</xdr:colOff>
      <xdr:row>8</xdr:row>
      <xdr:rowOff>0</xdr:rowOff>
    </xdr:from>
    <xdr:ext cx="34400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578225" y="16319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(2)</a:t>
          </a:r>
        </a:p>
      </xdr:txBody>
    </xdr:sp>
    <xdr:clientData/>
  </xdr:oneCellAnchor>
  <xdr:oneCellAnchor>
    <xdr:from>
      <xdr:col>15</xdr:col>
      <xdr:colOff>225425</xdr:colOff>
      <xdr:row>5</xdr:row>
      <xdr:rowOff>104775</xdr:rowOff>
    </xdr:from>
    <xdr:ext cx="3440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9477375" y="11588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(9)</a:t>
          </a:r>
        </a:p>
      </xdr:txBody>
    </xdr:sp>
    <xdr:clientData/>
  </xdr:oneCellAnchor>
  <xdr:oneCellAnchor>
    <xdr:from>
      <xdr:col>15</xdr:col>
      <xdr:colOff>244475</xdr:colOff>
      <xdr:row>4</xdr:row>
      <xdr:rowOff>0</xdr:rowOff>
    </xdr:from>
    <xdr:ext cx="34400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6425" y="85090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(8)</a:t>
          </a:r>
        </a:p>
      </xdr:txBody>
    </xdr:sp>
    <xdr:clientData/>
  </xdr:oneCellAnchor>
  <xdr:oneCellAnchor>
    <xdr:from>
      <xdr:col>14</xdr:col>
      <xdr:colOff>206375</xdr:colOff>
      <xdr:row>1</xdr:row>
      <xdr:rowOff>19050</xdr:rowOff>
    </xdr:from>
    <xdr:ext cx="419100" cy="2676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8794750" y="222250"/>
          <a:ext cx="419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sv-SE" sz="1100" b="1"/>
            <a:t>(6)</a:t>
          </a:r>
        </a:p>
      </xdr:txBody>
    </xdr:sp>
    <xdr:clientData/>
  </xdr:oneCellAnchor>
  <xdr:oneCellAnchor>
    <xdr:from>
      <xdr:col>14</xdr:col>
      <xdr:colOff>149225</xdr:colOff>
      <xdr:row>7</xdr:row>
      <xdr:rowOff>155575</xdr:rowOff>
    </xdr:from>
    <xdr:ext cx="41549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8740775" y="1609725"/>
          <a:ext cx="415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(10)</a:t>
          </a:r>
        </a:p>
      </xdr:txBody>
    </xdr:sp>
    <xdr:clientData/>
  </xdr:oneCellAnchor>
  <xdr:twoCellAnchor>
    <xdr:from>
      <xdr:col>0</xdr:col>
      <xdr:colOff>1</xdr:colOff>
      <xdr:row>42</xdr:row>
      <xdr:rowOff>1</xdr:rowOff>
    </xdr:from>
    <xdr:to>
      <xdr:col>10</xdr:col>
      <xdr:colOff>0</xdr:colOff>
      <xdr:row>48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1" y="5648326"/>
          <a:ext cx="7048499" cy="1295400"/>
        </a:xfrm>
        <a:prstGeom prst="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 inhibition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-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m,CYP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replaced by f</a:t>
          </a:r>
          <a:r>
            <a:rPr lang="sv-SE" sz="1000" u="none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OATP1B1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– fraction of CL caused by the uptake.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Transporter- metabolism interplay: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When an inhibitor is a substrate for transporter, the intracellular concentrations can be obtained by multiplying [I] by a fraction (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). Efflux: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&lt;1; uptake: </a:t>
          </a:r>
          <a:r>
            <a:rPr lang="el-GR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Θ </a:t>
          </a: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&gt;1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Static equations do not consider: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victim CL on its AUC ratio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Impact of number of inhibitor doses before victim administration? : Sufficient time for SS?</a:t>
          </a:r>
        </a:p>
        <a:p>
          <a:pPr marL="0" indent="0" algn="l" rtl="0" eaLnBrk="0" fontAlgn="base" hangingPunct="0">
            <a:spcBef>
              <a:spcPct val="0"/>
            </a:spcBef>
            <a:spcAft>
              <a:spcPct val="0"/>
            </a:spcAft>
            <a:defRPr/>
          </a:pPr>
          <a:r>
            <a:rPr lang="sv-SE" sz="1000" u="none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Dynamic changes in inhibitor concentrations</a:t>
          </a:r>
        </a:p>
      </xdr:txBody>
    </xdr:sp>
    <xdr:clientData/>
  </xdr:twoCellAnchor>
  <xdr:twoCellAnchor>
    <xdr:from>
      <xdr:col>11</xdr:col>
      <xdr:colOff>117473</xdr:colOff>
      <xdr:row>12</xdr:row>
      <xdr:rowOff>57149</xdr:rowOff>
    </xdr:from>
    <xdr:to>
      <xdr:col>17</xdr:col>
      <xdr:colOff>228605</xdr:colOff>
      <xdr:row>20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 bwMode="auto">
        <a:xfrm>
          <a:off x="7334248" y="2438399"/>
          <a:ext cx="3638551" cy="1543051"/>
        </a:xfrm>
        <a:prstGeom prst="roundRect">
          <a:avLst/>
        </a:prstGeom>
        <a:solidFill>
          <a:schemeClr val="bg1">
            <a:lumMod val="95000"/>
          </a:schemeClr>
        </a:solidFill>
        <a:ln w="9525" cap="flat" cmpd="sng" algn="ctr">
          <a:solidFill>
            <a:schemeClr val="accent2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wrap="square" anchor="ctr"/>
        <a:lstStyle>
          <a:defPPr>
            <a:defRPr lang="en-GB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sv-SE" sz="1100" u="sng">
              <a:cs typeface="Arial" pitchFamily="34" charset="0"/>
            </a:rPr>
            <a:t>Total or unbound [I]?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FDA: [I]</a:t>
          </a:r>
          <a:r>
            <a:rPr lang="sv-SE" sz="1100" baseline="-25000">
              <a:cs typeface="Arial" pitchFamily="34" charset="0"/>
            </a:rPr>
            <a:t>total</a:t>
          </a:r>
          <a:endParaRPr lang="sv-SE" sz="1100" u="sng" baseline="-25000"/>
        </a:p>
        <a:p>
          <a:pPr>
            <a:defRPr/>
          </a:pPr>
          <a:r>
            <a:rPr lang="sv-SE" sz="1100">
              <a:cs typeface="Arial" pitchFamily="34" charset="0"/>
            </a:rPr>
            <a:t>EMA: [I]</a:t>
          </a:r>
          <a:r>
            <a:rPr lang="sv-SE" sz="1100" baseline="-25000">
              <a:cs typeface="Arial" pitchFamily="34" charset="0"/>
            </a:rPr>
            <a:t>unbound.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Montelukast: potent CYP2C8 inhibitor &amp; high PPB </a:t>
          </a:r>
        </a:p>
        <a:p>
          <a:pPr>
            <a:lnSpc>
              <a:spcPts val="1400"/>
            </a:lnSpc>
            <a:defRPr/>
          </a:pPr>
          <a:r>
            <a:rPr lang="sv-SE" sz="1100">
              <a:cs typeface="Arial" pitchFamily="34" charset="0"/>
            </a:rPr>
            <a:t>	no DDI interaction observed in vivo</a:t>
          </a:r>
        </a:p>
        <a:p>
          <a:pPr>
            <a:defRPr/>
          </a:pPr>
          <a:r>
            <a:rPr lang="sv-SE" sz="1100" u="sng" kern="12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max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 or [I]</a:t>
          </a:r>
          <a:r>
            <a:rPr lang="sv-SE" sz="1100" u="sng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inlet</a:t>
          </a:r>
          <a:r>
            <a:rPr lang="sv-SE" sz="1100" u="sng" kern="1200" baseline="0">
              <a:solidFill>
                <a:schemeClr val="tx1"/>
              </a:solidFill>
              <a:latin typeface="Comic Sans MS" pitchFamily="66" charset="0"/>
              <a:ea typeface="+mn-ea"/>
              <a:cs typeface="Arial" pitchFamily="34" charset="0"/>
            </a:rPr>
            <a:t>?</a:t>
          </a:r>
        </a:p>
        <a:p>
          <a:pPr>
            <a:lnSpc>
              <a:spcPts val="1400"/>
            </a:lnSpc>
            <a:defRPr/>
          </a:pP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max 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for reversible &amp; </a:t>
          </a:r>
          <a:r>
            <a:rPr lang="sv-SE" sz="1100" kern="12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[I]</a:t>
          </a:r>
          <a:r>
            <a:rPr lang="sv-SE" sz="1100" kern="1200" baseline="-2500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sys</a:t>
          </a:r>
          <a:r>
            <a:rPr lang="sv-SE" sz="1100" kern="1200" baseline="0">
              <a:solidFill>
                <a:schemeClr val="tx1"/>
              </a:solidFill>
              <a:latin typeface="Comic Sans MS" pitchFamily="66" charset="0"/>
              <a:ea typeface="+mn-ea"/>
              <a:cs typeface="+mn-cs"/>
            </a:rPr>
            <a:t> TDI &amp; inducers [2]</a:t>
          </a:r>
          <a:endParaRPr lang="sv-SE" sz="1100" kern="1200" baseline="0">
            <a:solidFill>
              <a:schemeClr val="tx1"/>
            </a:solidFill>
            <a:latin typeface="Comic Sans MS" pitchFamily="66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14</xdr:col>
      <xdr:colOff>187325</xdr:colOff>
      <xdr:row>1</xdr:row>
      <xdr:rowOff>219075</xdr:rowOff>
    </xdr:from>
    <xdr:ext cx="34400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778875" y="422275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(7)</a:t>
          </a:r>
        </a:p>
      </xdr:txBody>
    </xdr:sp>
    <xdr:clientData/>
  </xdr:oneCellAnchor>
  <xdr:twoCellAnchor>
    <xdr:from>
      <xdr:col>5</xdr:col>
      <xdr:colOff>152400</xdr:colOff>
      <xdr:row>18</xdr:row>
      <xdr:rowOff>101600</xdr:rowOff>
    </xdr:from>
    <xdr:to>
      <xdr:col>5</xdr:col>
      <xdr:colOff>514350</xdr:colOff>
      <xdr:row>18</xdr:row>
      <xdr:rowOff>101600</xdr:rowOff>
    </xdr:to>
    <xdr:cxnSp macro="">
      <xdr:nvCxnSpPr>
        <xdr:cNvPr id="3789307" name="Straight Arrow Connector 6">
          <a:extLst>
            <a:ext uri="{FF2B5EF4-FFF2-40B4-BE49-F238E27FC236}">
              <a16:creationId xmlns:a16="http://schemas.microsoft.com/office/drawing/2014/main" id="{00000000-0008-0000-0300-0000FBD13900}"/>
            </a:ext>
          </a:extLst>
        </xdr:cNvPr>
        <xdr:cNvCxnSpPr>
          <a:cxnSpLocks noChangeShapeType="1"/>
        </xdr:cNvCxnSpPr>
      </xdr:nvCxnSpPr>
      <xdr:spPr bwMode="auto">
        <a:xfrm>
          <a:off x="3397250" y="3276600"/>
          <a:ext cx="361950" cy="0"/>
        </a:xfrm>
        <a:prstGeom prst="straightConnector1">
          <a:avLst/>
        </a:prstGeom>
        <a:noFill/>
        <a:ln w="2540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</xdr:col>
      <xdr:colOff>514350</xdr:colOff>
      <xdr:row>17</xdr:row>
      <xdr:rowOff>171450</xdr:rowOff>
    </xdr:from>
    <xdr:ext cx="344005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759200" y="3168650"/>
          <a:ext cx="34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sv-SE" sz="1100" b="1"/>
            <a:t>(3)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4</xdr:row>
          <xdr:rowOff>31750</xdr:rowOff>
        </xdr:from>
        <xdr:to>
          <xdr:col>4</xdr:col>
          <xdr:colOff>654050</xdr:colOff>
          <xdr:row>10</xdr:row>
          <xdr:rowOff>165100</xdr:rowOff>
        </xdr:to>
        <xdr:sp macro="" textlink="">
          <xdr:nvSpPr>
            <xdr:cNvPr id="712705" name="Object 1" hidden="1">
              <a:extLst>
                <a:ext uri="{63B3BB69-23CF-44E3-9099-C40C66FF867C}">
                  <a14:compatExt spid="_x0000_s712705"/>
                </a:ext>
                <a:ext uri="{FF2B5EF4-FFF2-40B4-BE49-F238E27FC236}">
                  <a16:creationId xmlns:a16="http://schemas.microsoft.com/office/drawing/2014/main" id="{00000000-0008-0000-0300-000001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23</xdr:row>
          <xdr:rowOff>95250</xdr:rowOff>
        </xdr:from>
        <xdr:to>
          <xdr:col>5</xdr:col>
          <xdr:colOff>838200</xdr:colOff>
          <xdr:row>30</xdr:row>
          <xdr:rowOff>82550</xdr:rowOff>
        </xdr:to>
        <xdr:sp macro="" textlink="">
          <xdr:nvSpPr>
            <xdr:cNvPr id="712706" name="Object 2" hidden="1">
              <a:extLst>
                <a:ext uri="{63B3BB69-23CF-44E3-9099-C40C66FF867C}">
                  <a14:compatExt spid="_x0000_s712706"/>
                </a:ext>
                <a:ext uri="{FF2B5EF4-FFF2-40B4-BE49-F238E27FC236}">
                  <a16:creationId xmlns:a16="http://schemas.microsoft.com/office/drawing/2014/main" id="{00000000-0008-0000-0300-000002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63500</xdr:colOff>
          <xdr:row>33</xdr:row>
          <xdr:rowOff>44450</xdr:rowOff>
        </xdr:from>
        <xdr:to>
          <xdr:col>5</xdr:col>
          <xdr:colOff>749300</xdr:colOff>
          <xdr:row>40</xdr:row>
          <xdr:rowOff>76200</xdr:rowOff>
        </xdr:to>
        <xdr:sp macro="" textlink="">
          <xdr:nvSpPr>
            <xdr:cNvPr id="712707" name="Object 3" hidden="1">
              <a:extLst>
                <a:ext uri="{63B3BB69-23CF-44E3-9099-C40C66FF867C}">
                  <a14:compatExt spid="_x0000_s712707"/>
                </a:ext>
                <a:ext uri="{FF2B5EF4-FFF2-40B4-BE49-F238E27FC236}">
                  <a16:creationId xmlns:a16="http://schemas.microsoft.com/office/drawing/2014/main" id="{00000000-0008-0000-0300-000003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</xdr:row>
          <xdr:rowOff>38100</xdr:rowOff>
        </xdr:from>
        <xdr:to>
          <xdr:col>2</xdr:col>
          <xdr:colOff>495300</xdr:colOff>
          <xdr:row>3</xdr:row>
          <xdr:rowOff>203200</xdr:rowOff>
        </xdr:to>
        <xdr:sp macro="" textlink="">
          <xdr:nvSpPr>
            <xdr:cNvPr id="712708" name="Object 4" hidden="1">
              <a:extLst>
                <a:ext uri="{63B3BB69-23CF-44E3-9099-C40C66FF867C}">
                  <a14:compatExt spid="_x0000_s712708"/>
                </a:ext>
                <a:ext uri="{FF2B5EF4-FFF2-40B4-BE49-F238E27FC236}">
                  <a16:creationId xmlns:a16="http://schemas.microsoft.com/office/drawing/2014/main" id="{00000000-0008-0000-0300-000004E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13</xdr:row>
          <xdr:rowOff>38100</xdr:rowOff>
        </xdr:from>
        <xdr:to>
          <xdr:col>5</xdr:col>
          <xdr:colOff>127000</xdr:colOff>
          <xdr:row>19</xdr:row>
          <xdr:rowOff>133350</xdr:rowOff>
        </xdr:to>
        <xdr:sp macro="" textlink="">
          <xdr:nvSpPr>
            <xdr:cNvPr id="2351642" name="Object 3610" hidden="1">
              <a:extLst>
                <a:ext uri="{63B3BB69-23CF-44E3-9099-C40C66FF867C}">
                  <a14:compatExt spid="_x0000_s2351642"/>
                </a:ext>
                <a:ext uri="{FF2B5EF4-FFF2-40B4-BE49-F238E27FC236}">
                  <a16:creationId xmlns:a16="http://schemas.microsoft.com/office/drawing/2014/main" id="{00000000-0008-0000-0300-00001AE22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8F8F8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13</xdr:row>
      <xdr:rowOff>44450</xdr:rowOff>
    </xdr:from>
    <xdr:to>
      <xdr:col>8</xdr:col>
      <xdr:colOff>177800</xdr:colOff>
      <xdr:row>26</xdr:row>
      <xdr:rowOff>139700</xdr:rowOff>
    </xdr:to>
    <xdr:graphicFrame macro="">
      <xdr:nvGraphicFramePr>
        <xdr:cNvPr id="195569" name="Chart 3">
          <a:extLst>
            <a:ext uri="{FF2B5EF4-FFF2-40B4-BE49-F238E27FC236}">
              <a16:creationId xmlns:a16="http://schemas.microsoft.com/office/drawing/2014/main" id="{00000000-0008-0000-0400-0000F1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13</xdr:row>
      <xdr:rowOff>38100</xdr:rowOff>
    </xdr:from>
    <xdr:to>
      <xdr:col>14</xdr:col>
      <xdr:colOff>368300</xdr:colOff>
      <xdr:row>26</xdr:row>
      <xdr:rowOff>139700</xdr:rowOff>
    </xdr:to>
    <xdr:graphicFrame macro="">
      <xdr:nvGraphicFramePr>
        <xdr:cNvPr id="195570" name="Chart 4">
          <a:extLst>
            <a:ext uri="{FF2B5EF4-FFF2-40B4-BE49-F238E27FC236}">
              <a16:creationId xmlns:a16="http://schemas.microsoft.com/office/drawing/2014/main" id="{00000000-0008-0000-0400-0000F2FB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6350</xdr:colOff>
          <xdr:row>0</xdr:row>
          <xdr:rowOff>6350</xdr:rowOff>
        </xdr:to>
        <xdr:sp macro="" textlink="">
          <xdr:nvSpPr>
            <xdr:cNvPr id="37889" name="_isisStructCtl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06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shei/AppData/Local/Temp/Temp1_Ibrutinib_and_baricitinib.zip/literature%20from%20UW/IBRU%20-%20DDI%20as%20victi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mispe/AppData/Local/Microsoft/Windows/Temporary%20Internet%20Files/Content.Outlook/8M8R2GAH/DDI%20prediction%20template-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  <sheetName val="Sheet1"/>
    </sheetNames>
    <sheetDataSet>
      <sheetData sheetId="0" refreshError="1"/>
      <sheetData sheetId="1" refreshError="1"/>
      <sheetData sheetId="2" refreshError="1"/>
      <sheetData sheetId="3" refreshError="1">
        <row r="6">
          <cell r="U6">
            <v>245</v>
          </cell>
        </row>
        <row r="7">
          <cell r="U7">
            <v>1148</v>
          </cell>
        </row>
        <row r="10">
          <cell r="Z10">
            <v>3.2166666666666666E-4</v>
          </cell>
          <cell r="AC10">
            <v>5.0000000000000001E-4</v>
          </cell>
        </row>
      </sheetData>
      <sheetData sheetId="4" refreshError="1"/>
      <sheetData sheetId="5" refreshError="1">
        <row r="4">
          <cell r="A4" t="str">
            <v>Alprazolam</v>
          </cell>
          <cell r="B4" t="str">
            <v>CYP3A4</v>
          </cell>
          <cell r="C4" t="str">
            <v>Alprazolam (CYP3A4)</v>
          </cell>
          <cell r="D4">
            <v>1</v>
          </cell>
          <cell r="E4">
            <v>0.98</v>
          </cell>
          <cell r="F4">
            <v>0.8</v>
          </cell>
          <cell r="G4">
            <v>0.8</v>
          </cell>
        </row>
        <row r="5">
          <cell r="A5" t="str">
            <v>Buspirone</v>
          </cell>
          <cell r="B5" t="str">
            <v>CYP3A4</v>
          </cell>
          <cell r="C5" t="str">
            <v>Buspirone (CYP3A4)</v>
          </cell>
          <cell r="E5">
            <v>0.21</v>
          </cell>
          <cell r="F5">
            <v>0.99</v>
          </cell>
          <cell r="G5">
            <v>0.99</v>
          </cell>
        </row>
        <row r="6">
          <cell r="A6" t="str">
            <v>Cyclosporine</v>
          </cell>
          <cell r="B6" t="str">
            <v>CYP3A4</v>
          </cell>
          <cell r="C6" t="str">
            <v>Cyclosporine (CYP3A4)</v>
          </cell>
          <cell r="E6">
            <v>0.39</v>
          </cell>
          <cell r="F6">
            <v>0.99</v>
          </cell>
          <cell r="G6">
            <v>0.71</v>
          </cell>
        </row>
        <row r="7">
          <cell r="A7" t="str">
            <v>Felodipine</v>
          </cell>
          <cell r="B7" t="str">
            <v>CYP3A4</v>
          </cell>
          <cell r="C7" t="str">
            <v>Felodipine (CYP3A4)</v>
          </cell>
          <cell r="E7">
            <v>0.45</v>
          </cell>
          <cell r="F7">
            <v>0.99</v>
          </cell>
          <cell r="G7">
            <v>0.81</v>
          </cell>
        </row>
        <row r="8">
          <cell r="A8" t="str">
            <v>Midazolam</v>
          </cell>
          <cell r="B8" t="str">
            <v>CYP3A4</v>
          </cell>
          <cell r="C8" t="str">
            <v>Midazolam (CYP3A4)</v>
          </cell>
          <cell r="D8">
            <v>1</v>
          </cell>
          <cell r="E8">
            <v>0.56999999999999995</v>
          </cell>
          <cell r="F8">
            <v>0.94</v>
          </cell>
          <cell r="G8">
            <v>1</v>
          </cell>
        </row>
        <row r="9">
          <cell r="A9" t="str">
            <v>Nifedipine</v>
          </cell>
          <cell r="B9" t="str">
            <v>CYP3A4</v>
          </cell>
          <cell r="C9" t="str">
            <v>Nifedipine (CYP3A4)</v>
          </cell>
          <cell r="D9">
            <v>1</v>
          </cell>
          <cell r="E9">
            <v>0.78</v>
          </cell>
          <cell r="F9">
            <v>1</v>
          </cell>
          <cell r="G9">
            <v>0.71</v>
          </cell>
        </row>
        <row r="10">
          <cell r="A10" t="str">
            <v>Quinidine</v>
          </cell>
          <cell r="B10" t="str">
            <v>CYP3A4</v>
          </cell>
          <cell r="C10" t="str">
            <v>Quinidine (CYP3A4)</v>
          </cell>
          <cell r="D10">
            <v>1</v>
          </cell>
          <cell r="E10">
            <v>0.9</v>
          </cell>
          <cell r="F10">
            <v>0.8</v>
          </cell>
          <cell r="G10">
            <v>0.76</v>
          </cell>
        </row>
        <row r="11">
          <cell r="A11" t="str">
            <v>Sildenafil</v>
          </cell>
          <cell r="B11" t="str">
            <v>CYP3A4</v>
          </cell>
          <cell r="C11" t="str">
            <v>Sildenafil (CYP3A4)</v>
          </cell>
          <cell r="E11">
            <v>0.38</v>
          </cell>
          <cell r="F11">
            <v>0.87</v>
          </cell>
          <cell r="G11">
            <v>0.79</v>
          </cell>
        </row>
        <row r="12">
          <cell r="A12" t="str">
            <v>Simvastatin</v>
          </cell>
          <cell r="B12" t="str">
            <v>CYP3A4</v>
          </cell>
          <cell r="C12" t="str">
            <v>Simvastatin (CYP3A4)</v>
          </cell>
          <cell r="D12">
            <v>1</v>
          </cell>
          <cell r="E12">
            <v>0.66</v>
          </cell>
          <cell r="F12">
            <v>0.93</v>
          </cell>
          <cell r="G12">
            <v>0.99</v>
          </cell>
        </row>
        <row r="13">
          <cell r="A13" t="str">
            <v>Trazodone</v>
          </cell>
          <cell r="B13" t="str">
            <v>CYP3A4</v>
          </cell>
          <cell r="C13" t="str">
            <v>Trazodone (CYP3A4)</v>
          </cell>
          <cell r="E13">
            <v>0.75</v>
          </cell>
          <cell r="F13">
            <v>0.99</v>
          </cell>
          <cell r="G13">
            <v>0.35</v>
          </cell>
        </row>
        <row r="14">
          <cell r="A14" t="str">
            <v>Triazolam</v>
          </cell>
          <cell r="B14" t="str">
            <v>CYP3A4</v>
          </cell>
          <cell r="C14" t="str">
            <v>Triazolam (CYP3A4)</v>
          </cell>
          <cell r="D14">
            <v>0.82</v>
          </cell>
          <cell r="E14">
            <v>0.75</v>
          </cell>
          <cell r="F14">
            <v>1</v>
          </cell>
          <cell r="G14">
            <v>0.92</v>
          </cell>
        </row>
        <row r="15">
          <cell r="A15" t="str">
            <v>Zolpidem</v>
          </cell>
          <cell r="B15" t="str">
            <v>CYP3A4</v>
          </cell>
          <cell r="C15" t="str">
            <v>Zolpidem (CYP3A4)</v>
          </cell>
          <cell r="D15">
            <v>1</v>
          </cell>
          <cell r="E15">
            <v>0.67</v>
          </cell>
          <cell r="G15">
            <v>0.6</v>
          </cell>
        </row>
        <row r="16">
          <cell r="A16" t="str">
            <v>Atomoxetin</v>
          </cell>
          <cell r="B16" t="str">
            <v>CYP2D6</v>
          </cell>
          <cell r="C16" t="str">
            <v>Atomoxetin (CYP2D6)</v>
          </cell>
          <cell r="D16">
            <v>1</v>
          </cell>
          <cell r="E16">
            <v>1</v>
          </cell>
          <cell r="F16">
            <v>0.98</v>
          </cell>
          <cell r="G16">
            <v>0.9</v>
          </cell>
        </row>
        <row r="17">
          <cell r="A17" t="str">
            <v>Desipramine</v>
          </cell>
          <cell r="B17" t="str">
            <v>CYP2D6</v>
          </cell>
          <cell r="C17" t="str">
            <v>Desipramine (CYP2D6)</v>
          </cell>
          <cell r="E17">
            <v>1</v>
          </cell>
          <cell r="G17">
            <v>0.85</v>
          </cell>
        </row>
        <row r="18">
          <cell r="A18" t="str">
            <v>R-Metoprolol</v>
          </cell>
          <cell r="B18" t="str">
            <v>CYP2D6</v>
          </cell>
          <cell r="C18" t="str">
            <v>R-Metoprolol (CYP2D6)</v>
          </cell>
          <cell r="D18">
            <v>1</v>
          </cell>
          <cell r="E18">
            <v>1</v>
          </cell>
          <cell r="F18">
            <v>0.9</v>
          </cell>
          <cell r="G18">
            <v>0.89</v>
          </cell>
        </row>
        <row r="19">
          <cell r="A19" t="str">
            <v>S-Metoprolol</v>
          </cell>
          <cell r="B19" t="str">
            <v>CYP2D6</v>
          </cell>
          <cell r="C19" t="str">
            <v>S-Metoprolol (CYP2D6)</v>
          </cell>
          <cell r="D19">
            <v>1</v>
          </cell>
          <cell r="E19">
            <v>1</v>
          </cell>
          <cell r="F19">
            <v>0.9</v>
          </cell>
          <cell r="G19">
            <v>0.8</v>
          </cell>
        </row>
        <row r="20">
          <cell r="A20" t="str">
            <v>Paroxetine</v>
          </cell>
          <cell r="B20" t="str">
            <v>CYP2D6</v>
          </cell>
          <cell r="C20" t="str">
            <v>Paroxetine (CYP2D6)</v>
          </cell>
          <cell r="E20">
            <v>1</v>
          </cell>
          <cell r="G20">
            <v>0.86</v>
          </cell>
        </row>
        <row r="21">
          <cell r="A21" t="str">
            <v>Perphenazine</v>
          </cell>
          <cell r="B21" t="str">
            <v>CYP2D6</v>
          </cell>
          <cell r="C21" t="str">
            <v>Perphenazine (CYP2D6)</v>
          </cell>
          <cell r="E21">
            <v>1</v>
          </cell>
          <cell r="G21">
            <v>0.87</v>
          </cell>
        </row>
        <row r="22">
          <cell r="A22" t="str">
            <v>Risperidone</v>
          </cell>
          <cell r="B22" t="str">
            <v>CYP2D6</v>
          </cell>
          <cell r="C22" t="str">
            <v>Risperidone (CYP2D6)</v>
          </cell>
          <cell r="E22">
            <v>1</v>
          </cell>
          <cell r="G22">
            <v>0.89</v>
          </cell>
        </row>
        <row r="23">
          <cell r="A23" t="str">
            <v>bufuralol</v>
          </cell>
          <cell r="B23" t="str">
            <v>CYP2D6</v>
          </cell>
          <cell r="C23" t="str">
            <v>bufuralol (CYP2D6)</v>
          </cell>
          <cell r="E23">
            <v>1</v>
          </cell>
        </row>
        <row r="24">
          <cell r="A24" t="str">
            <v>Dextromethorphan</v>
          </cell>
          <cell r="B24" t="str">
            <v>CYP2D6</v>
          </cell>
          <cell r="C24" t="str">
            <v>Dextromethorphan (CYP2D6)</v>
          </cell>
          <cell r="E24">
            <v>1</v>
          </cell>
        </row>
        <row r="25">
          <cell r="A25" t="str">
            <v>Imipramine</v>
          </cell>
          <cell r="B25" t="str">
            <v>CYP2D6</v>
          </cell>
          <cell r="C25" t="str">
            <v>Imipramine (CYP2D6)</v>
          </cell>
          <cell r="E25">
            <v>1</v>
          </cell>
        </row>
        <row r="26">
          <cell r="A26" t="str">
            <v>Caffeine</v>
          </cell>
          <cell r="B26" t="str">
            <v>CYP1A2</v>
          </cell>
          <cell r="C26" t="str">
            <v>Caffeine (CYP1A2)</v>
          </cell>
          <cell r="E26">
            <v>1</v>
          </cell>
        </row>
        <row r="27">
          <cell r="A27" t="str">
            <v>Clozapine</v>
          </cell>
          <cell r="B27" t="str">
            <v>CYP1A2</v>
          </cell>
          <cell r="C27" t="str">
            <v>Clozapine (CYP1A2)</v>
          </cell>
          <cell r="E27">
            <v>1</v>
          </cell>
        </row>
        <row r="28">
          <cell r="A28" t="str">
            <v>Phenacetin</v>
          </cell>
          <cell r="B28" t="str">
            <v>CYP1A2</v>
          </cell>
          <cell r="C28" t="str">
            <v>Phenacetin (CYP1A2)</v>
          </cell>
          <cell r="E28">
            <v>1</v>
          </cell>
        </row>
        <row r="29">
          <cell r="A29" t="str">
            <v>Theophylline</v>
          </cell>
          <cell r="B29" t="str">
            <v>CYP1A2</v>
          </cell>
          <cell r="C29" t="str">
            <v>Theophylline (CYP1A2)</v>
          </cell>
          <cell r="E29">
            <v>1</v>
          </cell>
        </row>
        <row r="30">
          <cell r="A30" t="str">
            <v>Bupropion</v>
          </cell>
          <cell r="B30" t="str">
            <v>CYP2B6</v>
          </cell>
          <cell r="C30" t="str">
            <v>Bupropion (CYP2B6)</v>
          </cell>
        </row>
        <row r="31">
          <cell r="A31" t="str">
            <v>Chlorzoxazone</v>
          </cell>
          <cell r="B31" t="str">
            <v>CYP2E1</v>
          </cell>
          <cell r="C31" t="str">
            <v>Chlorzoxazone (CYP2E1)</v>
          </cell>
        </row>
        <row r="32">
          <cell r="A32" t="str">
            <v>Omeprazole</v>
          </cell>
          <cell r="B32" t="str">
            <v>CYP2C19</v>
          </cell>
          <cell r="C32" t="str">
            <v>Omeprazole (CYP2C19)</v>
          </cell>
          <cell r="F32">
            <v>0.2</v>
          </cell>
        </row>
        <row r="33">
          <cell r="A33" t="str">
            <v>S-mephenytoin</v>
          </cell>
          <cell r="B33" t="str">
            <v>CYP2C19</v>
          </cell>
          <cell r="C33" t="str">
            <v>S-mephenytoin (CYP2C19)</v>
          </cell>
        </row>
        <row r="34">
          <cell r="A34" t="str">
            <v>Diclofenac</v>
          </cell>
          <cell r="B34" t="str">
            <v>CYP2C9</v>
          </cell>
          <cell r="C34" t="str">
            <v>Diclofenac (CYP2C9)</v>
          </cell>
        </row>
        <row r="35">
          <cell r="A35" t="str">
            <v>Warfarin</v>
          </cell>
          <cell r="B35" t="str">
            <v>CYP2C9</v>
          </cell>
          <cell r="C35" t="str">
            <v>Warfarin (CYP2C9)</v>
          </cell>
          <cell r="F35">
            <v>0.92</v>
          </cell>
          <cell r="G35">
            <v>0.87</v>
          </cell>
        </row>
        <row r="36">
          <cell r="A36" t="str">
            <v>Tolbutamide</v>
          </cell>
          <cell r="B36" t="str">
            <v>CYP2C9</v>
          </cell>
          <cell r="C36" t="str">
            <v>Tolbutamide (CYP2C9)</v>
          </cell>
          <cell r="G36">
            <v>0.8</v>
          </cell>
        </row>
      </sheetData>
      <sheetData sheetId="6" refreshError="1">
        <row r="2">
          <cell r="A2" t="str">
            <v>Ketoconazole</v>
          </cell>
          <cell r="B2" t="str">
            <v>CYP2C8</v>
          </cell>
          <cell r="C2" t="str">
            <v>Ketoconazole (CYP2C8)</v>
          </cell>
          <cell r="D2">
            <v>531</v>
          </cell>
          <cell r="E2">
            <v>200</v>
          </cell>
          <cell r="F2">
            <v>12</v>
          </cell>
          <cell r="G2">
            <v>0.03</v>
          </cell>
          <cell r="H2">
            <v>3.2000000000000001E-2</v>
          </cell>
          <cell r="I2">
            <v>1</v>
          </cell>
          <cell r="J2">
            <v>0.5</v>
          </cell>
          <cell r="K2">
            <v>1</v>
          </cell>
          <cell r="L2">
            <v>222</v>
          </cell>
          <cell r="M2">
            <v>1.5E-3</v>
          </cell>
          <cell r="N2">
            <v>2.1749999999999998</v>
          </cell>
        </row>
        <row r="3">
          <cell r="A3" t="str">
            <v>Ketoconazole</v>
          </cell>
          <cell r="B3" t="str">
            <v>CYP3A4</v>
          </cell>
          <cell r="C3" t="str">
            <v>Ketoconazole (CYP3A4)</v>
          </cell>
          <cell r="D3">
            <v>531</v>
          </cell>
          <cell r="E3">
            <v>200</v>
          </cell>
          <cell r="F3">
            <v>12</v>
          </cell>
          <cell r="G3">
            <v>0.03</v>
          </cell>
          <cell r="H3">
            <v>3.2000000000000001E-2</v>
          </cell>
          <cell r="I3">
            <v>1</v>
          </cell>
          <cell r="J3">
            <v>0.5</v>
          </cell>
          <cell r="K3">
            <v>1</v>
          </cell>
          <cell r="L3">
            <v>222</v>
          </cell>
          <cell r="M3">
            <v>1.5E-3</v>
          </cell>
          <cell r="N3">
            <v>1.4549999999999999E-2</v>
          </cell>
        </row>
        <row r="4">
          <cell r="A4" t="str">
            <v>Ketoconazole</v>
          </cell>
          <cell r="B4" t="str">
            <v>CYP3A5</v>
          </cell>
          <cell r="C4" t="str">
            <v>Ketoconazole (CYP3A5)</v>
          </cell>
          <cell r="D4">
            <v>531</v>
          </cell>
          <cell r="E4">
            <v>200</v>
          </cell>
          <cell r="F4">
            <v>12</v>
          </cell>
          <cell r="G4">
            <v>0.03</v>
          </cell>
          <cell r="H4">
            <v>3.2000000000000001E-2</v>
          </cell>
          <cell r="I4">
            <v>1</v>
          </cell>
          <cell r="J4">
            <v>0.5</v>
          </cell>
          <cell r="K4">
            <v>1</v>
          </cell>
          <cell r="L4">
            <v>222</v>
          </cell>
          <cell r="M4">
            <v>1.5E-3</v>
          </cell>
          <cell r="N4">
            <v>0.10464</v>
          </cell>
        </row>
        <row r="5">
          <cell r="A5" t="str">
            <v>Itraconazole</v>
          </cell>
          <cell r="B5" t="str">
            <v>CYP3A4</v>
          </cell>
          <cell r="C5" t="str">
            <v>Itraconazole (CYP3A4)</v>
          </cell>
          <cell r="D5">
            <v>705.6</v>
          </cell>
          <cell r="E5">
            <v>200</v>
          </cell>
          <cell r="F5">
            <v>12</v>
          </cell>
          <cell r="G5">
            <v>1.6E-2</v>
          </cell>
          <cell r="H5">
            <v>1.0333333333333333E-2</v>
          </cell>
          <cell r="I5">
            <v>1</v>
          </cell>
          <cell r="J5">
            <v>0.8</v>
          </cell>
          <cell r="K5">
            <v>1</v>
          </cell>
          <cell r="L5">
            <v>1413</v>
          </cell>
          <cell r="M5">
            <v>2.0000000000000001E-4</v>
          </cell>
          <cell r="N5">
            <v>1.2999999999999999E-3</v>
          </cell>
        </row>
        <row r="6">
          <cell r="A6" t="str">
            <v>Fluoxetin</v>
          </cell>
          <cell r="B6" t="str">
            <v>CYP2D6</v>
          </cell>
          <cell r="C6" t="str">
            <v>Fluoxetin (CYP2D6)</v>
          </cell>
          <cell r="D6">
            <v>346</v>
          </cell>
          <cell r="E6">
            <v>40</v>
          </cell>
          <cell r="F6">
            <v>24</v>
          </cell>
          <cell r="G6">
            <v>7.9000000000000001E-2</v>
          </cell>
          <cell r="H6">
            <v>1.6E-2</v>
          </cell>
          <cell r="I6">
            <v>1</v>
          </cell>
          <cell r="J6">
            <v>0.5</v>
          </cell>
          <cell r="K6">
            <v>1</v>
          </cell>
          <cell r="L6">
            <v>560</v>
          </cell>
          <cell r="M6">
            <v>1E-3</v>
          </cell>
          <cell r="N6">
            <v>3.9779999999999996E-2</v>
          </cell>
        </row>
        <row r="7">
          <cell r="A7" t="str">
            <v>Fluoxetin</v>
          </cell>
          <cell r="B7" t="str">
            <v>CYP2C9</v>
          </cell>
          <cell r="C7" t="str">
            <v>Fluoxetin (CYP2C9)</v>
          </cell>
          <cell r="D7">
            <v>346</v>
          </cell>
          <cell r="E7">
            <v>40</v>
          </cell>
          <cell r="F7">
            <v>24</v>
          </cell>
          <cell r="G7">
            <v>7.9000000000000001E-2</v>
          </cell>
          <cell r="H7">
            <v>1.6E-2</v>
          </cell>
          <cell r="I7">
            <v>1</v>
          </cell>
          <cell r="J7">
            <v>0.5</v>
          </cell>
          <cell r="K7">
            <v>1</v>
          </cell>
          <cell r="L7">
            <v>560</v>
          </cell>
          <cell r="M7">
            <v>1E-3</v>
          </cell>
          <cell r="N7">
            <v>4.4369999999999994</v>
          </cell>
        </row>
        <row r="8">
          <cell r="A8" t="str">
            <v>Fluoxetin</v>
          </cell>
          <cell r="B8" t="str">
            <v>CYP3A4</v>
          </cell>
          <cell r="C8" t="str">
            <v>Fluoxetin (CYP3A4)</v>
          </cell>
          <cell r="D8">
            <v>346</v>
          </cell>
          <cell r="E8">
            <v>40</v>
          </cell>
          <cell r="F8">
            <v>24</v>
          </cell>
          <cell r="G8">
            <v>7.9000000000000001E-2</v>
          </cell>
          <cell r="H8">
            <v>1.6E-2</v>
          </cell>
          <cell r="I8">
            <v>1</v>
          </cell>
          <cell r="J8">
            <v>0.5</v>
          </cell>
          <cell r="K8">
            <v>1</v>
          </cell>
          <cell r="L8">
            <v>560</v>
          </cell>
          <cell r="M8">
            <v>1E-3</v>
          </cell>
          <cell r="N8">
            <v>3.4169999999999998</v>
          </cell>
        </row>
        <row r="9">
          <cell r="A9" t="str">
            <v>Fluoxetin</v>
          </cell>
          <cell r="B9" t="str">
            <v>CYP3A5</v>
          </cell>
          <cell r="C9" t="str">
            <v>Fluoxetin (CYP3A5)</v>
          </cell>
          <cell r="D9">
            <v>346</v>
          </cell>
          <cell r="E9">
            <v>40</v>
          </cell>
          <cell r="F9">
            <v>24</v>
          </cell>
          <cell r="G9">
            <v>7.9000000000000001E-2</v>
          </cell>
          <cell r="H9">
            <v>1.6E-2</v>
          </cell>
          <cell r="I9">
            <v>1</v>
          </cell>
          <cell r="J9">
            <v>0.5</v>
          </cell>
          <cell r="K9">
            <v>1</v>
          </cell>
          <cell r="L9">
            <v>560</v>
          </cell>
          <cell r="M9">
            <v>1E-3</v>
          </cell>
          <cell r="N9">
            <v>4.4800000000000004</v>
          </cell>
        </row>
        <row r="10">
          <cell r="A10" t="str">
            <v>Quinidine</v>
          </cell>
          <cell r="B10" t="str">
            <v>CYP2D6</v>
          </cell>
          <cell r="C10" t="str">
            <v>Quinidine (CYP2D6)</v>
          </cell>
          <cell r="D10">
            <v>324</v>
          </cell>
          <cell r="E10">
            <v>200</v>
          </cell>
          <cell r="F10">
            <v>24</v>
          </cell>
          <cell r="G10">
            <v>0.2</v>
          </cell>
          <cell r="H10">
            <v>0.03</v>
          </cell>
          <cell r="I10">
            <v>1</v>
          </cell>
          <cell r="J10">
            <v>0.5</v>
          </cell>
          <cell r="K10">
            <v>1</v>
          </cell>
          <cell r="L10">
            <v>322</v>
          </cell>
          <cell r="M10">
            <v>1E-3</v>
          </cell>
          <cell r="N10">
            <v>1.1900000000000001E-2</v>
          </cell>
        </row>
        <row r="11">
          <cell r="A11" t="str">
            <v>Quinidine</v>
          </cell>
          <cell r="B11" t="str">
            <v>CYP3A4</v>
          </cell>
          <cell r="C11" t="str">
            <v>Quinidine (CYP3A4)</v>
          </cell>
          <cell r="D11">
            <v>324</v>
          </cell>
          <cell r="E11">
            <v>200</v>
          </cell>
          <cell r="F11">
            <v>24</v>
          </cell>
          <cell r="G11">
            <v>0.2</v>
          </cell>
          <cell r="H11">
            <v>0.03</v>
          </cell>
          <cell r="I11">
            <v>1</v>
          </cell>
          <cell r="J11">
            <v>0.5</v>
          </cell>
          <cell r="K11">
            <v>1</v>
          </cell>
          <cell r="L11">
            <v>322</v>
          </cell>
          <cell r="M11">
            <v>1E-3</v>
          </cell>
          <cell r="N11">
            <v>23.2</v>
          </cell>
        </row>
        <row r="12">
          <cell r="A12" t="str">
            <v>Fluvoxamine</v>
          </cell>
          <cell r="B12" t="str">
            <v>CYP1A2</v>
          </cell>
          <cell r="C12" t="str">
            <v>Fluvoxamine (CYP1A2)</v>
          </cell>
          <cell r="D12">
            <v>318</v>
          </cell>
          <cell r="E12">
            <v>200</v>
          </cell>
          <cell r="F12">
            <v>24</v>
          </cell>
          <cell r="G12">
            <v>0.14000000000000001</v>
          </cell>
          <cell r="H12">
            <v>7.0000000000000001E-3</v>
          </cell>
          <cell r="I12">
            <v>1</v>
          </cell>
          <cell r="J12">
            <v>0.5</v>
          </cell>
          <cell r="K12">
            <v>1</v>
          </cell>
          <cell r="L12">
            <v>3045</v>
          </cell>
          <cell r="M12">
            <v>1E-3</v>
          </cell>
          <cell r="N12">
            <v>4.836E-2</v>
          </cell>
        </row>
        <row r="13">
          <cell r="A13" t="str">
            <v>Fluvoxamine</v>
          </cell>
          <cell r="B13" t="str">
            <v>CYP2C9</v>
          </cell>
          <cell r="C13" t="str">
            <v>Fluvoxamine (CYP2C9)</v>
          </cell>
          <cell r="D13">
            <v>318</v>
          </cell>
          <cell r="E13">
            <v>200</v>
          </cell>
          <cell r="F13">
            <v>24</v>
          </cell>
          <cell r="G13">
            <v>0.14000000000000001</v>
          </cell>
          <cell r="H13">
            <v>7.0000000000000001E-3</v>
          </cell>
          <cell r="I13">
            <v>1</v>
          </cell>
          <cell r="J13">
            <v>0.5</v>
          </cell>
          <cell r="K13">
            <v>1</v>
          </cell>
          <cell r="L13">
            <v>3045</v>
          </cell>
          <cell r="M13">
            <v>1E-3</v>
          </cell>
          <cell r="N13">
            <v>1.2645</v>
          </cell>
        </row>
        <row r="14">
          <cell r="A14" t="str">
            <v>Fluvoxamine</v>
          </cell>
          <cell r="B14" t="str">
            <v>CYP2C19</v>
          </cell>
          <cell r="C14" t="str">
            <v>Fluvoxamine (CYP2C19)</v>
          </cell>
          <cell r="D14">
            <v>318</v>
          </cell>
          <cell r="E14">
            <v>200</v>
          </cell>
          <cell r="F14">
            <v>24</v>
          </cell>
          <cell r="G14">
            <v>0.14000000000000001</v>
          </cell>
          <cell r="H14">
            <v>1.2E-2</v>
          </cell>
          <cell r="I14">
            <v>1</v>
          </cell>
          <cell r="J14">
            <v>1</v>
          </cell>
          <cell r="K14">
            <v>1</v>
          </cell>
          <cell r="L14">
            <v>3045</v>
          </cell>
          <cell r="M14">
            <v>5.0000000000000001E-3</v>
          </cell>
          <cell r="N14">
            <v>6.2399999999999997E-2</v>
          </cell>
        </row>
        <row r="15">
          <cell r="A15" t="str">
            <v>Fluvoxamine</v>
          </cell>
          <cell r="B15" t="str">
            <v>CYP2D6</v>
          </cell>
          <cell r="C15" t="str">
            <v>Fluvoxamine (CYP2D6)</v>
          </cell>
          <cell r="D15">
            <v>318</v>
          </cell>
          <cell r="E15">
            <v>200</v>
          </cell>
          <cell r="F15">
            <v>24</v>
          </cell>
          <cell r="G15">
            <v>0.14000000000000001</v>
          </cell>
          <cell r="H15">
            <v>7.0000000000000001E-3</v>
          </cell>
          <cell r="I15">
            <v>1</v>
          </cell>
          <cell r="J15">
            <v>0.5</v>
          </cell>
          <cell r="K15">
            <v>1</v>
          </cell>
          <cell r="L15">
            <v>3045</v>
          </cell>
          <cell r="M15">
            <v>1E-3</v>
          </cell>
          <cell r="N15">
            <v>1.89046</v>
          </cell>
        </row>
        <row r="16">
          <cell r="A16" t="str">
            <v>Fluvoxamine</v>
          </cell>
          <cell r="B16" t="str">
            <v>CYP3A5</v>
          </cell>
          <cell r="C16" t="str">
            <v>Fluvoxamine (CYP3A5)</v>
          </cell>
          <cell r="D16">
            <v>318</v>
          </cell>
          <cell r="E16">
            <v>200</v>
          </cell>
          <cell r="F16">
            <v>24</v>
          </cell>
          <cell r="G16">
            <v>0.14000000000000001</v>
          </cell>
          <cell r="H16">
            <v>7.0000000000000001E-3</v>
          </cell>
          <cell r="I16">
            <v>1</v>
          </cell>
          <cell r="J16">
            <v>0.5</v>
          </cell>
          <cell r="K16">
            <v>1</v>
          </cell>
          <cell r="L16">
            <v>3045</v>
          </cell>
          <cell r="M16">
            <v>1E-3</v>
          </cell>
          <cell r="N16">
            <v>7.8938999999999995</v>
          </cell>
        </row>
        <row r="17">
          <cell r="A17" t="str">
            <v>Sulfaphenazole</v>
          </cell>
          <cell r="B17" t="str">
            <v>CYP2C9</v>
          </cell>
          <cell r="C17" t="str">
            <v>Sulfaphenazole (CYP2C9)</v>
          </cell>
          <cell r="D17">
            <v>314</v>
          </cell>
          <cell r="E17">
            <v>2000</v>
          </cell>
          <cell r="F17">
            <v>24</v>
          </cell>
          <cell r="G17">
            <v>0.18</v>
          </cell>
          <cell r="H17">
            <v>0.03</v>
          </cell>
          <cell r="I17">
            <v>1</v>
          </cell>
          <cell r="J17">
            <v>0.5</v>
          </cell>
          <cell r="K17">
            <v>1</v>
          </cell>
          <cell r="L17">
            <v>772</v>
          </cell>
          <cell r="M17">
            <v>1E-3</v>
          </cell>
          <cell r="N17">
            <v>0.1570752</v>
          </cell>
        </row>
        <row r="18">
          <cell r="A18" t="str">
            <v>Sulfaphenazole</v>
          </cell>
          <cell r="B18" t="str">
            <v>CYP2C19</v>
          </cell>
          <cell r="C18" t="str">
            <v>Sulfaphenazole (CYP2C19)</v>
          </cell>
          <cell r="D18">
            <v>314</v>
          </cell>
          <cell r="E18">
            <v>2000</v>
          </cell>
          <cell r="F18">
            <v>24</v>
          </cell>
          <cell r="G18">
            <v>0.18</v>
          </cell>
          <cell r="H18">
            <v>0.03</v>
          </cell>
          <cell r="I18">
            <v>1</v>
          </cell>
          <cell r="J18">
            <v>0.5</v>
          </cell>
          <cell r="K18">
            <v>1</v>
          </cell>
          <cell r="L18">
            <v>772</v>
          </cell>
          <cell r="M18">
            <v>1E-3</v>
          </cell>
          <cell r="N18">
            <v>11.664</v>
          </cell>
        </row>
        <row r="19">
          <cell r="A19" t="str">
            <v>Paroxetine</v>
          </cell>
          <cell r="B19" t="str">
            <v>CYP2D6</v>
          </cell>
          <cell r="C19" t="str">
            <v>Paroxetine (CYP2D6)</v>
          </cell>
          <cell r="D19">
            <v>329</v>
          </cell>
          <cell r="E19">
            <v>30</v>
          </cell>
          <cell r="F19">
            <v>24</v>
          </cell>
          <cell r="G19">
            <v>0.08</v>
          </cell>
          <cell r="H19">
            <v>0.01</v>
          </cell>
          <cell r="I19">
            <v>1</v>
          </cell>
          <cell r="J19">
            <v>0.5</v>
          </cell>
          <cell r="K19">
            <v>1</v>
          </cell>
          <cell r="L19">
            <v>4025</v>
          </cell>
          <cell r="M19">
            <v>1E-3</v>
          </cell>
          <cell r="N19">
            <v>2.2999999999999998</v>
          </cell>
        </row>
        <row r="20">
          <cell r="D20" t="str">
            <v>MW</v>
          </cell>
          <cell r="E20" t="str">
            <v>Dose (mg)</v>
          </cell>
          <cell r="F20" t="str">
            <v>τ (h)</v>
          </cell>
          <cell r="G20" t="str">
            <v>fu</v>
          </cell>
          <cell r="H20" t="str">
            <v>ka (min-1)</v>
          </cell>
          <cell r="I20" t="str">
            <v>fabs</v>
          </cell>
          <cell r="J20" t="str">
            <v>fgut</v>
          </cell>
          <cell r="K20" t="str">
            <v>F</v>
          </cell>
          <cell r="L20" t="str">
            <v>CL/F (mL/min)</v>
          </cell>
          <cell r="M20" t="str">
            <v>k (min-1)</v>
          </cell>
          <cell r="O20" t="str">
            <v>KI,u (µM)</v>
          </cell>
          <cell r="P20" t="str">
            <v>Kinact (min-1)</v>
          </cell>
        </row>
        <row r="21">
          <cell r="A21" t="str">
            <v>Diltiazem</v>
          </cell>
          <cell r="B21" t="str">
            <v>CYP3A4</v>
          </cell>
          <cell r="C21" t="str">
            <v>TDI-Diltiazem (CYP3A4)</v>
          </cell>
          <cell r="D21">
            <v>414.5</v>
          </cell>
          <cell r="E21">
            <v>60</v>
          </cell>
          <cell r="F21">
            <v>8</v>
          </cell>
          <cell r="G21">
            <v>0.25</v>
          </cell>
          <cell r="H21">
            <v>0.1</v>
          </cell>
          <cell r="I21">
            <v>1</v>
          </cell>
          <cell r="J21">
            <v>0.8</v>
          </cell>
          <cell r="K21">
            <v>1</v>
          </cell>
          <cell r="L21">
            <v>2930</v>
          </cell>
          <cell r="M21">
            <v>2.8999999999999998E-3</v>
          </cell>
          <cell r="O21">
            <v>4.75</v>
          </cell>
          <cell r="P21">
            <v>1.1666666666666665E-2</v>
          </cell>
        </row>
        <row r="22">
          <cell r="A22" t="str">
            <v>Diltiazem</v>
          </cell>
          <cell r="B22" t="str">
            <v>CYP3A5</v>
          </cell>
          <cell r="C22" t="str">
            <v>TDI-Diltiazem (CYP3A5)</v>
          </cell>
          <cell r="D22">
            <v>414.5</v>
          </cell>
          <cell r="E22">
            <v>60</v>
          </cell>
          <cell r="F22">
            <v>8</v>
          </cell>
          <cell r="G22">
            <v>0.25</v>
          </cell>
          <cell r="H22">
            <v>0.1</v>
          </cell>
          <cell r="I22">
            <v>1</v>
          </cell>
          <cell r="J22">
            <v>0.8</v>
          </cell>
          <cell r="K22">
            <v>1</v>
          </cell>
          <cell r="L22">
            <v>2930</v>
          </cell>
          <cell r="M22">
            <v>2.8999999999999998E-3</v>
          </cell>
          <cell r="O22">
            <v>7.8299999999999992</v>
          </cell>
          <cell r="P22">
            <v>7.0000000000000001E-3</v>
          </cell>
        </row>
        <row r="23">
          <cell r="A23" t="str">
            <v>Erythromycin</v>
          </cell>
          <cell r="B23" t="str">
            <v>CYP3A4</v>
          </cell>
          <cell r="C23" t="str">
            <v>TDI-Erythromycin (CYP3A4)</v>
          </cell>
          <cell r="D23">
            <v>734</v>
          </cell>
          <cell r="E23">
            <v>500</v>
          </cell>
          <cell r="F23">
            <v>6</v>
          </cell>
          <cell r="G23">
            <v>0.31</v>
          </cell>
          <cell r="H23">
            <v>4.3333333333333331E-3</v>
          </cell>
          <cell r="I23">
            <v>1</v>
          </cell>
          <cell r="J23">
            <v>0.5</v>
          </cell>
          <cell r="K23">
            <v>1</v>
          </cell>
          <cell r="L23">
            <v>1060</v>
          </cell>
          <cell r="M23">
            <v>1E-3</v>
          </cell>
          <cell r="O23">
            <v>13.024800000000001</v>
          </cell>
          <cell r="P23">
            <v>2.4833333333333332E-2</v>
          </cell>
        </row>
        <row r="24">
          <cell r="A24" t="str">
            <v>Erythromycin</v>
          </cell>
          <cell r="B24" t="str">
            <v>CYP3A5</v>
          </cell>
          <cell r="C24" t="str">
            <v>TDI-Erythromycin (CYP3A5)</v>
          </cell>
          <cell r="D24">
            <v>734</v>
          </cell>
          <cell r="E24">
            <v>500</v>
          </cell>
          <cell r="F24">
            <v>6</v>
          </cell>
          <cell r="G24">
            <v>0.31</v>
          </cell>
          <cell r="H24">
            <v>4.3333333333333331E-3</v>
          </cell>
          <cell r="I24">
            <v>1</v>
          </cell>
          <cell r="J24">
            <v>0.5</v>
          </cell>
          <cell r="K24">
            <v>1</v>
          </cell>
          <cell r="L24">
            <v>1060</v>
          </cell>
          <cell r="M24">
            <v>1E-3</v>
          </cell>
          <cell r="O24">
            <v>6.9400799999999991</v>
          </cell>
          <cell r="P24">
            <v>1.1000000000000001E-2</v>
          </cell>
        </row>
        <row r="25">
          <cell r="A25" t="str">
            <v>Ritonavir</v>
          </cell>
          <cell r="B25" t="str">
            <v>CYP3A4</v>
          </cell>
          <cell r="C25" t="str">
            <v>TDI-Ritonavir (CYP3A4)</v>
          </cell>
          <cell r="D25">
            <v>721</v>
          </cell>
          <cell r="E25">
            <v>500</v>
          </cell>
          <cell r="F25">
            <v>12</v>
          </cell>
          <cell r="G25">
            <v>0.02</v>
          </cell>
          <cell r="H25">
            <v>4.0000000000000001E-3</v>
          </cell>
          <cell r="I25">
            <v>1</v>
          </cell>
          <cell r="J25">
            <v>0.5</v>
          </cell>
          <cell r="K25">
            <v>1</v>
          </cell>
          <cell r="L25">
            <v>151.66666666666666</v>
          </cell>
          <cell r="M25">
            <v>1E-3</v>
          </cell>
          <cell r="O25">
            <v>0.1</v>
          </cell>
          <cell r="P25">
            <v>0.32</v>
          </cell>
        </row>
        <row r="26">
          <cell r="A26" t="str">
            <v>Verapamil</v>
          </cell>
          <cell r="B26" t="str">
            <v>CYP3A4</v>
          </cell>
          <cell r="C26" t="str">
            <v>TDI-Verapamil (CYP3A4)</v>
          </cell>
          <cell r="D26">
            <v>455</v>
          </cell>
          <cell r="E26">
            <v>120</v>
          </cell>
          <cell r="F26">
            <v>8</v>
          </cell>
          <cell r="G26">
            <v>0.1</v>
          </cell>
          <cell r="H26">
            <v>0.02</v>
          </cell>
          <cell r="I26">
            <v>1</v>
          </cell>
          <cell r="J26">
            <v>0.56999999999999995</v>
          </cell>
          <cell r="K26">
            <v>1</v>
          </cell>
          <cell r="L26">
            <v>1423.3333333333333</v>
          </cell>
          <cell r="M26">
            <v>1.4E-3</v>
          </cell>
          <cell r="O26">
            <v>2.2000000000000002</v>
          </cell>
          <cell r="P26">
            <v>3.3333333333333333E-2</v>
          </cell>
        </row>
        <row r="27">
          <cell r="A27" t="str">
            <v>Fluoxetin</v>
          </cell>
          <cell r="B27" t="str">
            <v>CYP3A4</v>
          </cell>
          <cell r="C27" t="str">
            <v>TDI-Fluoxetin (CYP3A4)</v>
          </cell>
          <cell r="D27">
            <v>346</v>
          </cell>
          <cell r="E27">
            <v>40</v>
          </cell>
          <cell r="F27">
            <v>24</v>
          </cell>
          <cell r="G27">
            <v>7.9000000000000001E-2</v>
          </cell>
          <cell r="H27">
            <v>1.6E-2</v>
          </cell>
          <cell r="I27">
            <v>1</v>
          </cell>
          <cell r="J27">
            <v>0.5</v>
          </cell>
          <cell r="K27">
            <v>1</v>
          </cell>
          <cell r="L27">
            <v>560</v>
          </cell>
          <cell r="M27">
            <v>1E-3</v>
          </cell>
          <cell r="O27">
            <v>5.26</v>
          </cell>
          <cell r="P27">
            <v>1.7000000000000001E-2</v>
          </cell>
        </row>
        <row r="28">
          <cell r="A28" t="str">
            <v>Paroxetine</v>
          </cell>
          <cell r="B28" t="str">
            <v>CYP2D6</v>
          </cell>
          <cell r="C28" t="str">
            <v>TDI-Paroxetine (CYP2D6)</v>
          </cell>
          <cell r="D28">
            <v>329</v>
          </cell>
          <cell r="E28">
            <v>30</v>
          </cell>
          <cell r="F28">
            <v>24</v>
          </cell>
          <cell r="G28">
            <v>0.08</v>
          </cell>
          <cell r="H28">
            <v>0.01</v>
          </cell>
          <cell r="I28">
            <v>1</v>
          </cell>
          <cell r="J28">
            <v>0.5</v>
          </cell>
          <cell r="K28">
            <v>1</v>
          </cell>
          <cell r="L28">
            <v>4025</v>
          </cell>
          <cell r="M28">
            <v>1E-3</v>
          </cell>
          <cell r="O28">
            <v>0.315</v>
          </cell>
          <cell r="P28">
            <v>0.17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I risk predictions"/>
      <sheetName val="SensitivityAnalysis"/>
      <sheetName val="Equations"/>
      <sheetName val="Enzymes-fm,CYP from rCYPs"/>
      <sheetName val="_isisStructSheet"/>
      <sheetName val="Substrates for various CYPs"/>
      <sheetName val="Inhibitors for various CYPs"/>
      <sheetName val="Subst, inh &amp; ind-transporters"/>
      <sheetName val="UsefulInfo"/>
      <sheetName val="References"/>
    </sheetNames>
    <sheetDataSet>
      <sheetData sheetId="0"/>
      <sheetData sheetId="1"/>
      <sheetData sheetId="2"/>
      <sheetData sheetId="3">
        <row r="10">
          <cell r="Z10">
            <v>1.6041666666666664E-4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da.gov/cder/drug/drugInteractions/tableSubstrates.ht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AE851"/>
  <sheetViews>
    <sheetView tabSelected="1" topLeftCell="A4" zoomScale="82" zoomScaleNormal="82" workbookViewId="0">
      <selection activeCell="A11" sqref="A11"/>
    </sheetView>
  </sheetViews>
  <sheetFormatPr defaultColWidth="9" defaultRowHeight="12.5" x14ac:dyDescent="0.25"/>
  <cols>
    <col min="1" max="1" width="24.58203125" style="408" customWidth="1"/>
    <col min="2" max="2" width="12.5" style="408" customWidth="1"/>
    <col min="3" max="3" width="9.75" style="408" customWidth="1"/>
    <col min="4" max="4" width="5.58203125" style="408" customWidth="1"/>
    <col min="5" max="5" width="4.83203125" style="408" customWidth="1"/>
    <col min="6" max="6" width="4.58203125" style="408" customWidth="1"/>
    <col min="7" max="7" width="5.25" style="408" customWidth="1"/>
    <col min="8" max="8" width="3.75" style="408" customWidth="1"/>
    <col min="9" max="9" width="6.58203125" style="408" customWidth="1"/>
    <col min="10" max="10" width="8.08203125" style="408" customWidth="1"/>
    <col min="11" max="11" width="12.33203125" style="408" customWidth="1"/>
    <col min="12" max="12" width="14.5" style="408" customWidth="1"/>
    <col min="13" max="13" width="11.25" style="408" customWidth="1"/>
    <col min="14" max="14" width="9.75" style="408" customWidth="1"/>
    <col min="15" max="15" width="9.6640625" style="408" customWidth="1"/>
    <col min="16" max="16" width="10.5" style="408" customWidth="1"/>
    <col min="17" max="17" width="12.75" style="408" customWidth="1"/>
    <col min="18" max="18" width="17.33203125" style="408" customWidth="1"/>
    <col min="19" max="19" width="16.25" style="408" customWidth="1"/>
    <col min="20" max="20" width="14.1640625" style="408" customWidth="1"/>
    <col min="21" max="22" width="6.33203125" style="408" customWidth="1"/>
    <col min="23" max="23" width="12.83203125" style="408" customWidth="1"/>
    <col min="24" max="24" width="10.5" style="408" customWidth="1"/>
    <col min="25" max="25" width="12.58203125" style="408" customWidth="1"/>
    <col min="26" max="26" width="9" style="408" customWidth="1"/>
    <col min="27" max="27" width="16.5" style="408" customWidth="1"/>
    <col min="28" max="28" width="6.75" style="408" customWidth="1"/>
    <col min="29" max="29" width="7.08203125" style="408" customWidth="1"/>
    <col min="30" max="30" width="8.08203125" style="408" customWidth="1"/>
    <col min="31" max="31" width="3.58203125" style="408" customWidth="1"/>
    <col min="32" max="32" width="8" style="408" customWidth="1"/>
    <col min="33" max="16384" width="9" style="408"/>
  </cols>
  <sheetData>
    <row r="1" spans="1:31" ht="20.25" customHeight="1" x14ac:dyDescent="0.3">
      <c r="A1" s="405" t="s">
        <v>336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  <c r="Y1" s="406"/>
      <c r="Z1" s="406"/>
      <c r="AA1" s="406"/>
      <c r="AB1" s="406"/>
      <c r="AC1" s="406"/>
      <c r="AD1" s="406"/>
      <c r="AE1" s="407"/>
    </row>
    <row r="2" spans="1:31" ht="18.75" customHeight="1" x14ac:dyDescent="0.3">
      <c r="A2" s="409" t="s">
        <v>269</v>
      </c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1"/>
    </row>
    <row r="3" spans="1:31" ht="32" customHeight="1" x14ac:dyDescent="0.25">
      <c r="A3" s="412" t="s">
        <v>448</v>
      </c>
      <c r="B3" s="517" t="s">
        <v>264</v>
      </c>
      <c r="C3" s="518"/>
      <c r="D3" s="412" t="s">
        <v>326</v>
      </c>
      <c r="E3" s="410"/>
      <c r="F3" s="410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  <c r="AA3" s="410"/>
      <c r="AB3" s="410"/>
      <c r="AC3" s="410"/>
      <c r="AD3" s="410"/>
      <c r="AE3" s="411"/>
    </row>
    <row r="4" spans="1:31" ht="36.75" customHeight="1" x14ac:dyDescent="0.25">
      <c r="A4" s="413" t="s">
        <v>433</v>
      </c>
      <c r="B4" s="413" t="s">
        <v>292</v>
      </c>
      <c r="C4" s="413" t="s">
        <v>266</v>
      </c>
      <c r="D4" s="413" t="s">
        <v>46</v>
      </c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0"/>
      <c r="AE4" s="411"/>
    </row>
    <row r="5" spans="1:31" ht="15.75" customHeight="1" x14ac:dyDescent="0.25">
      <c r="A5" s="414"/>
      <c r="B5" s="410"/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1"/>
    </row>
    <row r="6" spans="1:31" s="417" customFormat="1" ht="18.75" customHeight="1" x14ac:dyDescent="0.3">
      <c r="A6" s="415"/>
      <c r="B6" s="519" t="s">
        <v>364</v>
      </c>
      <c r="C6" s="519"/>
      <c r="D6" s="519"/>
      <c r="E6" s="519"/>
      <c r="F6" s="519" t="s">
        <v>365</v>
      </c>
      <c r="G6" s="519"/>
      <c r="H6" s="519"/>
      <c r="I6" s="519"/>
      <c r="J6" s="519"/>
      <c r="K6" s="519"/>
      <c r="L6" s="519"/>
      <c r="M6" s="519"/>
      <c r="N6" s="519"/>
      <c r="O6" s="519"/>
      <c r="P6" s="519"/>
      <c r="Q6" s="519"/>
      <c r="R6" s="519"/>
      <c r="S6" s="416"/>
      <c r="T6" s="416"/>
      <c r="U6" s="519" t="s">
        <v>258</v>
      </c>
      <c r="V6" s="519"/>
      <c r="W6" s="519" t="s">
        <v>363</v>
      </c>
      <c r="X6" s="519"/>
      <c r="Y6" s="519"/>
      <c r="Z6" s="519"/>
      <c r="AA6" s="519"/>
      <c r="AB6" s="519"/>
      <c r="AC6" s="519"/>
      <c r="AD6" s="519"/>
      <c r="AE6" s="411"/>
    </row>
    <row r="7" spans="1:31" s="428" customFormat="1" ht="79.5" customHeight="1" x14ac:dyDescent="0.25">
      <c r="A7" s="509" t="s">
        <v>411</v>
      </c>
      <c r="B7" s="511" t="s">
        <v>450</v>
      </c>
      <c r="C7" s="491" t="s">
        <v>449</v>
      </c>
      <c r="D7" s="418" t="s">
        <v>384</v>
      </c>
      <c r="E7" s="418" t="s">
        <v>385</v>
      </c>
      <c r="F7" s="419" t="s">
        <v>0</v>
      </c>
      <c r="G7" s="419" t="s">
        <v>28</v>
      </c>
      <c r="H7" s="420" t="s">
        <v>47</v>
      </c>
      <c r="I7" s="419" t="s">
        <v>386</v>
      </c>
      <c r="J7" s="419" t="s">
        <v>387</v>
      </c>
      <c r="K7" s="421" t="s">
        <v>407</v>
      </c>
      <c r="L7" s="421" t="s">
        <v>408</v>
      </c>
      <c r="M7" s="421" t="s">
        <v>388</v>
      </c>
      <c r="N7" s="421" t="s">
        <v>397</v>
      </c>
      <c r="O7" s="419" t="s">
        <v>238</v>
      </c>
      <c r="P7" s="422" t="s">
        <v>44</v>
      </c>
      <c r="Q7" s="423" t="s">
        <v>410</v>
      </c>
      <c r="R7" s="421" t="s">
        <v>378</v>
      </c>
      <c r="S7" s="424" t="s">
        <v>406</v>
      </c>
      <c r="T7" s="425" t="s">
        <v>46</v>
      </c>
      <c r="U7" s="426" t="s">
        <v>389</v>
      </c>
      <c r="V7" s="426" t="s">
        <v>390</v>
      </c>
      <c r="W7" s="427" t="s">
        <v>391</v>
      </c>
      <c r="X7" s="512" t="s">
        <v>400</v>
      </c>
      <c r="Y7" s="512" t="s">
        <v>402</v>
      </c>
      <c r="Z7" s="512" t="s">
        <v>392</v>
      </c>
      <c r="AA7" s="512" t="s">
        <v>399</v>
      </c>
      <c r="AB7" s="512" t="s">
        <v>405</v>
      </c>
      <c r="AC7" s="512" t="s">
        <v>404</v>
      </c>
      <c r="AD7" s="512" t="s">
        <v>382</v>
      </c>
      <c r="AE7" s="411"/>
    </row>
    <row r="8" spans="1:31" ht="23.25" customHeight="1" x14ac:dyDescent="0.25">
      <c r="A8" s="510"/>
      <c r="B8" s="511"/>
      <c r="C8" s="429"/>
      <c r="D8" s="429" t="s">
        <v>393</v>
      </c>
      <c r="E8" s="429"/>
      <c r="F8" s="430"/>
      <c r="G8" s="430" t="s">
        <v>5</v>
      </c>
      <c r="H8" s="430" t="s">
        <v>69</v>
      </c>
      <c r="I8" s="430"/>
      <c r="J8" s="430" t="s">
        <v>4</v>
      </c>
      <c r="K8" s="430" t="s">
        <v>394</v>
      </c>
      <c r="L8" s="430"/>
      <c r="M8" s="431" t="s">
        <v>4</v>
      </c>
      <c r="N8" s="430"/>
      <c r="O8" s="430"/>
      <c r="P8" s="431" t="s">
        <v>4</v>
      </c>
      <c r="Q8" s="430" t="s">
        <v>71</v>
      </c>
      <c r="R8" s="430" t="s">
        <v>394</v>
      </c>
      <c r="S8" s="432" t="s">
        <v>4</v>
      </c>
      <c r="T8" s="432" t="s">
        <v>4</v>
      </c>
      <c r="U8" s="433" t="s">
        <v>4</v>
      </c>
      <c r="V8" s="433" t="s">
        <v>63</v>
      </c>
      <c r="W8" s="434" t="s">
        <v>4</v>
      </c>
      <c r="X8" s="513"/>
      <c r="Y8" s="513" t="s">
        <v>100</v>
      </c>
      <c r="Z8" s="513"/>
      <c r="AA8" s="513" t="s">
        <v>74</v>
      </c>
      <c r="AB8" s="513" t="s">
        <v>100</v>
      </c>
      <c r="AC8" s="513" t="s">
        <v>100</v>
      </c>
      <c r="AD8" s="513" t="s">
        <v>100</v>
      </c>
      <c r="AE8" s="435"/>
    </row>
    <row r="9" spans="1:31" ht="21" customHeight="1" x14ac:dyDescent="0.25">
      <c r="A9" s="436"/>
      <c r="B9" s="437" t="str">
        <f>IF($B$4="Substrates","",IF(ISBLANK($A9),"",VLOOKUP($B$4,'[1]Substrates for various CYPs'!$C$4:$G$36,2,FALSE)))</f>
        <v/>
      </c>
      <c r="C9" s="437" t="str">
        <f>IF($B$4="Substrates","",IF(ISBLANK($A9),"",VLOOKUP($B$4,'[1]Substrates for various CYPs'!$C$4:$G$36,3,FALSE)))</f>
        <v/>
      </c>
      <c r="D9" s="437" t="str">
        <f>IF($B$4="Substrates","",IF(ISBLANK($A9),"",VLOOKUP($B$4,'[1]Substrates for various CYPs'!$C$4:$G$36,4,FALSE)))</f>
        <v/>
      </c>
      <c r="E9" s="437" t="str">
        <f>IF($B$4="Substrates","",IF(ISBLANK($A9),"",VLOOKUP($B$4,'[1]Substrates for various CYPs'!$C$4:$G$36,5,FALSE)))</f>
        <v/>
      </c>
      <c r="F9" s="438" t="str">
        <f>IF($C$4="Inhibitors","",IF(ISBLANK($A9),"",VLOOKUP($C$4,'[1]Inhibitors for various CYPs'!$C$2:$O$28,2,FALSE)))</f>
        <v/>
      </c>
      <c r="G9" s="439" t="str">
        <f>IF($C$4="Inhibitors","",IF(ISBLANK($A9),"",VLOOKUP($C$4,'[1]Inhibitors for various CYPs'!$C$2:$O$28,3,FALSE)))</f>
        <v/>
      </c>
      <c r="H9" s="439" t="str">
        <f>IF($C$4="Inhibitors","",IF(ISBLANK($A9),"",VLOOKUP($C$4,'[1]Inhibitors for various CYPs'!$C$2:$O$28,4,FALSE)))</f>
        <v/>
      </c>
      <c r="I9" s="439" t="str">
        <f>IF($C$4="Inhibitors","",IF(ISBLANK($A9),"",VLOOKUP($C$4,'[1]Inhibitors for various CYPs'!$C$2:$O$28,5,FALSE)))</f>
        <v/>
      </c>
      <c r="J9" s="440" t="str">
        <f>IF($C$4="Inhibitors","",IF(ISBLANK($A9),"",VLOOKUP($C$4,'[1]Inhibitors for various CYPs'!$C$2:$O$28,12,FALSE)))</f>
        <v/>
      </c>
      <c r="K9" s="441" t="str">
        <f>IF($C$4="Inhibitors","",IF(ISBLANK($A9),"",VLOOKUP($C$4,'[1]Inhibitors for various CYPs'!$C$2:$O$28,6,FALSE)))</f>
        <v/>
      </c>
      <c r="L9" s="442" t="str">
        <f>IF($C$4="Inhibitors","",IF(ISBLANK($A9),"",VLOOKUP($C$4,'[1]Inhibitors for various CYPs'!$C$2:$O$28,7,FALSE)))</f>
        <v/>
      </c>
      <c r="M9" s="443" t="str">
        <f>IF(ISBLANK($A9),"",(G9*K9*L9/('[1]Enzymes-fm,CYP from rCYPs'!$U$6*F9))*1000000)</f>
        <v/>
      </c>
      <c r="N9" s="442" t="str">
        <f>IF($C$4="Inhibitors","",IF(ISBLANK($A9),"",VLOOKUP($C$4,'[1]Inhibitors for various CYPs'!$C$2:$O$28,8,FALSE)))</f>
        <v/>
      </c>
      <c r="O9" s="444" t="str">
        <f>IF($C$4="Inhibitors","",IF(ISBLANK($A9),"",VLOOKUP($C$4,'[1]Inhibitors for various CYPs'!$C$2:$O$28,9,FALSE)))</f>
        <v/>
      </c>
      <c r="P9" s="443" t="str">
        <f>IF(ISBLANK($A9),"",(G9*K9*L9*N9/('[1]Enzymes-fm,CYP from rCYPs'!$U$7*F9))*1000000 + T9)</f>
        <v/>
      </c>
      <c r="Q9" s="445" t="str">
        <f>IF($C$4="Inhibitors","",IF(ISBLANK($A9),"",VLOOKUP($C$4,'[1]Inhibitors for various CYPs'!$C$2:$O$28,10,FALSE)))</f>
        <v/>
      </c>
      <c r="R9" s="446" t="str">
        <f>IF($C$4="Inhibitors","",IF(ISBLANK($A9),"",VLOOKUP($C$4,'[1]Inhibitors for various CYPs'!$C$2:$O$28,11,FALSE)))</f>
        <v/>
      </c>
      <c r="S9" s="447" t="str">
        <f t="shared" ref="S9:S22" si="0">IF(ISBLANK($A9),"",T9*(R9*H9*60/(1-EXP(-R9*H9*60))))</f>
        <v/>
      </c>
      <c r="T9" s="448" t="str">
        <f t="shared" ref="T9:T22" si="1">IF(ISBLANK($A9),"",(O9*G9/(Q9*H9*60*F9))*1000000)</f>
        <v/>
      </c>
      <c r="U9" s="449" t="str">
        <f>IF($C$4="Inhibitors","",IF(ISBLANK($A9),"",VLOOKUP($C$4,'[1]Inhibitors for various CYPs'!$C$2:$P$28,13,FALSE)))</f>
        <v/>
      </c>
      <c r="V9" s="450" t="str">
        <f>IF($C$4="Inhibitors","",IF(ISBLANK($A9),"",VLOOKUP($C$4,'[1]Inhibitors for various CYPs'!$C$2:$P$28,14,FALSE)))</f>
        <v/>
      </c>
      <c r="W9" s="451" t="str">
        <f>IF(OR($G9="",$G9&lt;=0,ISBLANK($A9)),"",IF($D$4 ="Isys",$T9*I9,IF($D$4 ="Imax",$S9*I9,IF($D$4 ="Iinlet",$P9*I9,""))))</f>
        <v/>
      </c>
      <c r="X9" s="452" t="str">
        <f t="shared" ref="X9:X22" si="2">IF(OR($J9="",$J9&lt;=0),"",($B9/$C9)*(1/($D9*$E9/(1+($W9/$J9))+(1-$D9*$E9))))</f>
        <v/>
      </c>
      <c r="Y9" s="453" t="e">
        <f t="shared" ref="Y9:Y22" si="3">IF(ISBLANK($J9),"",1/($C9+((1-$C9)/(1+($M9/(J9))))))</f>
        <v>#VALUE!</v>
      </c>
      <c r="Z9" s="452" t="str">
        <f t="shared" ref="Z9:Z22" si="4">IF(OR($J9="",$J9&lt;=0),"",$Y9*(1/($D9*$E9/(1+($W9/$J9))+(1-$D9*$E9))))</f>
        <v/>
      </c>
      <c r="AA9" s="454" t="str">
        <f>IF(OR(ISBLANK($A9),$V9="",$V9&lt;=0),"", (B9/C9)*(1/(E9*D9/(1+(V9*W9/('[1]Enzymes-fm,CYP from rCYPs'!$Z$10*(U9+W9))))+(1-(E9*D9)))))</f>
        <v/>
      </c>
      <c r="AB9" s="454" t="e">
        <f>IF(ISBLANK($V9),"", (1/($E9*$D9/(1+($V9*$W9/('[1]Enzymes-fm,CYP from rCYPs'!$Z$10*($U9+$W9))))+(1-($E9*$D9)))))</f>
        <v>#VALUE!</v>
      </c>
      <c r="AC9" s="453" t="e">
        <f>IF(ISBLANK($V9),"",1/(C9+((1-C9)/(1+(V9*M9/('[1]Enzymes-fm,CYP from rCYPs'!$AC$10*(U9+M9)))))))</f>
        <v>#VALUE!</v>
      </c>
      <c r="AD9" s="454" t="str">
        <f t="shared" ref="AD9:AD22" si="5">IF(OR(ISBLANK($A9),$V9="",$V9&lt;=0),"",AC9*AB9)</f>
        <v/>
      </c>
      <c r="AE9" s="411"/>
    </row>
    <row r="10" spans="1:31" ht="21" customHeight="1" x14ac:dyDescent="0.25">
      <c r="A10" s="436"/>
      <c r="B10" s="437" t="str">
        <f>IF($B$4="Substrates","",IF(ISBLANK($A10),"",VLOOKUP($B$4,'[1]Substrates for various CYPs'!$C$4:$G$36,2,FALSE)))</f>
        <v/>
      </c>
      <c r="C10" s="437" t="str">
        <f>IF($B$4="Substrates","",IF(ISBLANK($A10),"",VLOOKUP($B$4,'[1]Substrates for various CYPs'!$C$4:$G$36,3,FALSE)))</f>
        <v/>
      </c>
      <c r="D10" s="437" t="str">
        <f>IF($B$4="Substrates","",IF(ISBLANK($A10),"",VLOOKUP($B$4,'[1]Substrates for various CYPs'!$C$4:$G$36,4,FALSE)))</f>
        <v/>
      </c>
      <c r="E10" s="437" t="str">
        <f>IF($B$4="Substrates","",IF(ISBLANK($A10),"",VLOOKUP($B$4,'[1]Substrates for various CYPs'!$C$4:$G$36,5,FALSE)))</f>
        <v/>
      </c>
      <c r="F10" s="438" t="str">
        <f>IF($C$4="Inhibitors","",IF(ISBLANK($A10),"",VLOOKUP($C$4,'[1]Inhibitors for various CYPs'!$C$2:$O$28,2,FALSE)))</f>
        <v/>
      </c>
      <c r="G10" s="439" t="str">
        <f>IF($C$4="Inhibitors","",IF(ISBLANK($A10),"",VLOOKUP($C$4,'[1]Inhibitors for various CYPs'!$C$2:$O$28,3,FALSE)))</f>
        <v/>
      </c>
      <c r="H10" s="439" t="str">
        <f>IF($C$4="Inhibitors","",IF(ISBLANK($A10),"",VLOOKUP($C$4,'[1]Inhibitors for various CYPs'!$C$2:$O$28,4,FALSE)))</f>
        <v/>
      </c>
      <c r="I10" s="439" t="str">
        <f>IF($C$4="Inhibitors","",IF(ISBLANK($A10),"",VLOOKUP($C$4,'[1]Inhibitors for various CYPs'!$C$2:$O$28,5,FALSE)))</f>
        <v/>
      </c>
      <c r="J10" s="440" t="str">
        <f>IF($C$4="Inhibitors","",IF(ISBLANK($A10),"",VLOOKUP($C$4,'[1]Inhibitors for various CYPs'!$C$2:$O$28,12,FALSE)))</f>
        <v/>
      </c>
      <c r="K10" s="441" t="str">
        <f>IF($C$4="Inhibitors","",IF(ISBLANK($A10),"",VLOOKUP($C$4,'[1]Inhibitors for various CYPs'!$C$2:$O$28,6,FALSE)))</f>
        <v/>
      </c>
      <c r="L10" s="442" t="str">
        <f>IF($C$4="Inhibitors","",IF(ISBLANK($A10),"",VLOOKUP($C$4,'[1]Inhibitors for various CYPs'!$C$2:$O$28,7,FALSE)))</f>
        <v/>
      </c>
      <c r="M10" s="443" t="str">
        <f>IF(ISBLANK($A10),"",(G10*K10*L10/('[1]Enzymes-fm,CYP from rCYPs'!$U$6*F10))*1000000)</f>
        <v/>
      </c>
      <c r="N10" s="442" t="str">
        <f>IF($C$4="Inhibitors","",IF(ISBLANK($A10),"",VLOOKUP($C$4,'[1]Inhibitors for various CYPs'!$C$2:$O$28,8,FALSE)))</f>
        <v/>
      </c>
      <c r="O10" s="444" t="str">
        <f>IF($C$4="Inhibitors","",IF(ISBLANK($A10),"",VLOOKUP($C$4,'[1]Inhibitors for various CYPs'!$C$2:$O$28,9,FALSE)))</f>
        <v/>
      </c>
      <c r="P10" s="443" t="str">
        <f>IF(ISBLANK($A10),"",(G10*K10*L10*N10/('[1]Enzymes-fm,CYP from rCYPs'!$U$7*F10))*1000000 + T10)</f>
        <v/>
      </c>
      <c r="Q10" s="445" t="str">
        <f>IF($C$4="Inhibitors","",IF(ISBLANK($A10),"",VLOOKUP($C$4,'[1]Inhibitors for various CYPs'!$C$2:$O$28,10,FALSE)))</f>
        <v/>
      </c>
      <c r="R10" s="446" t="str">
        <f>IF($C$4="Inhibitors","",IF(ISBLANK($A10),"",VLOOKUP($C$4,'[1]Inhibitors for various CYPs'!$C$2:$O$28,11,FALSE)))</f>
        <v/>
      </c>
      <c r="S10" s="447" t="str">
        <f t="shared" si="0"/>
        <v/>
      </c>
      <c r="T10" s="448" t="str">
        <f t="shared" si="1"/>
        <v/>
      </c>
      <c r="U10" s="449" t="str">
        <f>IF($C$4="Inhibitors","",IF(ISBLANK($A10),"",VLOOKUP($C$4,'[1]Inhibitors for various CYPs'!$C$2:$P$28,13,FALSE)))</f>
        <v/>
      </c>
      <c r="V10" s="450" t="str">
        <f>IF($C$4="Inhibitors","",IF(ISBLANK($A10),"",VLOOKUP($C$4,'[1]Inhibitors for various CYPs'!$C$2:$P$28,14,FALSE)))</f>
        <v/>
      </c>
      <c r="W10" s="451" t="str">
        <f t="shared" ref="W10:W22" si="6">IF(OR($G10="",$G10&lt;=0,ISBLANK($A10)),"",IF($D$4 ="Isys",$T10*I10,IF($D$4 ="Imax",$S10*I10,IF($D$4 ="Iinlet",$P10*I10,""))))</f>
        <v/>
      </c>
      <c r="X10" s="452" t="str">
        <f t="shared" si="2"/>
        <v/>
      </c>
      <c r="Y10" s="453" t="e">
        <f t="shared" si="3"/>
        <v>#VALUE!</v>
      </c>
      <c r="Z10" s="452" t="str">
        <f t="shared" si="4"/>
        <v/>
      </c>
      <c r="AA10" s="454" t="str">
        <f>IF(OR(ISBLANK($A10),$V10="",$V10&lt;=0),"", (B10/C10)*(1/(E10*D10/(1+(V10*W10/('[1]Enzymes-fm,CYP from rCYPs'!$Z$10*(U10+W10))))+(1-(E10*D10)))))</f>
        <v/>
      </c>
      <c r="AB10" s="454" t="e">
        <f>IF(ISBLANK($V10),"", (1/($E10*$D10/(1+($V10*$W10/('[1]Enzymes-fm,CYP from rCYPs'!$Z$10*($U10+$W10))))+(1-($E10*$D10)))))</f>
        <v>#VALUE!</v>
      </c>
      <c r="AC10" s="453" t="e">
        <f>IF(ISBLANK($V10),"",1/(C10+((1-C10)/(1+(V10*M10/('[1]Enzymes-fm,CYP from rCYPs'!$AC$10*(U10+M10)))))))</f>
        <v>#VALUE!</v>
      </c>
      <c r="AD10" s="454" t="str">
        <f t="shared" si="5"/>
        <v/>
      </c>
      <c r="AE10" s="411"/>
    </row>
    <row r="11" spans="1:31" ht="21" customHeight="1" x14ac:dyDescent="0.25">
      <c r="A11" s="436"/>
      <c r="B11" s="437" t="str">
        <f>IF($B$4="Substrates","",IF(ISBLANK($A11),"",VLOOKUP($B$4,'[1]Substrates for various CYPs'!$C$4:$G$36,2,FALSE)))</f>
        <v/>
      </c>
      <c r="C11" s="437" t="str">
        <f>IF($B$4="Substrates","",IF(ISBLANK($A11),"",VLOOKUP($B$4,'[1]Substrates for various CYPs'!$C$4:$G$36,3,FALSE)))</f>
        <v/>
      </c>
      <c r="D11" s="437" t="str">
        <f>IF($B$4="Substrates","",IF(ISBLANK($A11),"",VLOOKUP($B$4,'[1]Substrates for various CYPs'!$C$4:$G$36,4,FALSE)))</f>
        <v/>
      </c>
      <c r="E11" s="437" t="str">
        <f>IF($B$4="Substrates","",IF(ISBLANK($A11),"",VLOOKUP($B$4,'[1]Substrates for various CYPs'!$C$4:$G$36,5,FALSE)))</f>
        <v/>
      </c>
      <c r="F11" s="438" t="str">
        <f>IF($C$4="Inhibitors","",IF(ISBLANK($A11),"",VLOOKUP($C$4,'[1]Inhibitors for various CYPs'!$C$2:$O$28,2,FALSE)))</f>
        <v/>
      </c>
      <c r="G11" s="439" t="str">
        <f>IF($C$4="Inhibitors","",IF(ISBLANK($A11),"",VLOOKUP($C$4,'[1]Inhibitors for various CYPs'!$C$2:$O$28,3,FALSE)))</f>
        <v/>
      </c>
      <c r="H11" s="439" t="str">
        <f>IF($C$4="Inhibitors","",IF(ISBLANK($A11),"",VLOOKUP($C$4,'[1]Inhibitors for various CYPs'!$C$2:$O$28,4,FALSE)))</f>
        <v/>
      </c>
      <c r="I11" s="439" t="str">
        <f>IF($C$4="Inhibitors","",IF(ISBLANK($A11),"",VLOOKUP($C$4,'[1]Inhibitors for various CYPs'!$C$2:$O$28,5,FALSE)))</f>
        <v/>
      </c>
      <c r="J11" s="440" t="str">
        <f>IF($C$4="Inhibitors","",IF(ISBLANK($A11),"",VLOOKUP($C$4,'[1]Inhibitors for various CYPs'!$C$2:$O$28,12,FALSE)))</f>
        <v/>
      </c>
      <c r="K11" s="441" t="str">
        <f>IF($C$4="Inhibitors","",IF(ISBLANK($A11),"",VLOOKUP($C$4,'[1]Inhibitors for various CYPs'!$C$2:$O$28,6,FALSE)))</f>
        <v/>
      </c>
      <c r="L11" s="442" t="str">
        <f>IF($C$4="Inhibitors","",IF(ISBLANK($A11),"",VLOOKUP($C$4,'[1]Inhibitors for various CYPs'!$C$2:$O$28,7,FALSE)))</f>
        <v/>
      </c>
      <c r="M11" s="443" t="str">
        <f>IF(ISBLANK($A11),"",(G11*K11*L11/('[1]Enzymes-fm,CYP from rCYPs'!$U$6*F11))*1000000)</f>
        <v/>
      </c>
      <c r="N11" s="442" t="str">
        <f>IF($C$4="Inhibitors","",IF(ISBLANK($A11),"",VLOOKUP($C$4,'[1]Inhibitors for various CYPs'!$C$2:$O$28,8,FALSE)))</f>
        <v/>
      </c>
      <c r="O11" s="444" t="str">
        <f>IF($C$4="Inhibitors","",IF(ISBLANK($A11),"",VLOOKUP($C$4,'[1]Inhibitors for various CYPs'!$C$2:$O$28,9,FALSE)))</f>
        <v/>
      </c>
      <c r="P11" s="443" t="str">
        <f>IF(ISBLANK($A11),"",(G11*K11*L11*N11/('[1]Enzymes-fm,CYP from rCYPs'!$U$7*F11))*1000000 + T11)</f>
        <v/>
      </c>
      <c r="Q11" s="445" t="str">
        <f>IF($C$4="Inhibitors","",IF(ISBLANK($A11),"",VLOOKUP($C$4,'[1]Inhibitors for various CYPs'!$C$2:$O$28,10,FALSE)))</f>
        <v/>
      </c>
      <c r="R11" s="446" t="str">
        <f>IF($C$4="Inhibitors","",IF(ISBLANK($A11),"",VLOOKUP($C$4,'[1]Inhibitors for various CYPs'!$C$2:$O$28,11,FALSE)))</f>
        <v/>
      </c>
      <c r="S11" s="447" t="str">
        <f t="shared" si="0"/>
        <v/>
      </c>
      <c r="T11" s="448" t="str">
        <f t="shared" si="1"/>
        <v/>
      </c>
      <c r="U11" s="449" t="str">
        <f>IF($C$4="Inhibitors","",IF(ISBLANK($A11),"",VLOOKUP($C$4,'[1]Inhibitors for various CYPs'!$C$2:$P$28,13,FALSE)))</f>
        <v/>
      </c>
      <c r="V11" s="450" t="str">
        <f>IF($C$4="Inhibitors","",IF(ISBLANK($A11),"",VLOOKUP($C$4,'[1]Inhibitors for various CYPs'!$C$2:$P$28,14,FALSE)))</f>
        <v/>
      </c>
      <c r="W11" s="451" t="str">
        <f t="shared" si="6"/>
        <v/>
      </c>
      <c r="X11" s="452" t="str">
        <f t="shared" si="2"/>
        <v/>
      </c>
      <c r="Y11" s="453" t="e">
        <f t="shared" si="3"/>
        <v>#VALUE!</v>
      </c>
      <c r="Z11" s="452" t="str">
        <f t="shared" si="4"/>
        <v/>
      </c>
      <c r="AA11" s="454" t="str">
        <f>IF(OR(ISBLANK($A11),$V11="",$V11&lt;=0),"", (B11/C11)*(1/(E11*D11/(1+(V11*W11/('[1]Enzymes-fm,CYP from rCYPs'!$Z$10*(U11+W11))))+(1-(E11*D11)))))</f>
        <v/>
      </c>
      <c r="AB11" s="454" t="e">
        <f>IF(ISBLANK($V11),"", (1/($E11*$D11/(1+($V11*$W11/('[1]Enzymes-fm,CYP from rCYPs'!$Z$10*($U11+$W11))))+(1-($E11*$D11)))))</f>
        <v>#VALUE!</v>
      </c>
      <c r="AC11" s="453" t="e">
        <f>IF(ISBLANK($V11),"",1/(C11+((1-C11)/(1+(V11*M11/('[1]Enzymes-fm,CYP from rCYPs'!$AC$10*(U11+M11)))))))</f>
        <v>#VALUE!</v>
      </c>
      <c r="AD11" s="454" t="str">
        <f t="shared" si="5"/>
        <v/>
      </c>
      <c r="AE11" s="411"/>
    </row>
    <row r="12" spans="1:31" ht="21" customHeight="1" x14ac:dyDescent="0.25">
      <c r="A12" s="436"/>
      <c r="B12" s="437" t="str">
        <f>IF($B$4="Substrates","",IF(ISBLANK($A12),"",VLOOKUP($B$4,'[1]Substrates for various CYPs'!$C$4:$G$36,2,FALSE)))</f>
        <v/>
      </c>
      <c r="C12" s="437" t="str">
        <f>IF($B$4="Substrates","",IF(ISBLANK($A12),"",VLOOKUP($B$4,'[1]Substrates for various CYPs'!$C$4:$G$36,3,FALSE)))</f>
        <v/>
      </c>
      <c r="D12" s="437" t="str">
        <f>IF($B$4="Substrates","",IF(ISBLANK($A12),"",VLOOKUP($B$4,'[1]Substrates for various CYPs'!$C$4:$G$36,4,FALSE)))</f>
        <v/>
      </c>
      <c r="E12" s="437" t="str">
        <f>IF($B$4="Substrates","",IF(ISBLANK($A12),"",VLOOKUP($B$4,'[1]Substrates for various CYPs'!$C$4:$G$36,5,FALSE)))</f>
        <v/>
      </c>
      <c r="F12" s="438" t="str">
        <f>IF($C$4="Inhibitors","",IF(ISBLANK($A12),"",VLOOKUP($C$4,'[1]Inhibitors for various CYPs'!$C$2:$O$28,2,FALSE)))</f>
        <v/>
      </c>
      <c r="G12" s="439" t="str">
        <f>IF($C$4="Inhibitors","",IF(ISBLANK($A12),"",VLOOKUP($C$4,'[1]Inhibitors for various CYPs'!$C$2:$O$28,3,FALSE)))</f>
        <v/>
      </c>
      <c r="H12" s="439" t="str">
        <f>IF($C$4="Inhibitors","",IF(ISBLANK($A12),"",VLOOKUP($C$4,'[1]Inhibitors for various CYPs'!$C$2:$O$28,4,FALSE)))</f>
        <v/>
      </c>
      <c r="I12" s="439" t="str">
        <f>IF($C$4="Inhibitors","",IF(ISBLANK($A12),"",VLOOKUP($C$4,'[1]Inhibitors for various CYPs'!$C$2:$O$28,5,FALSE)))</f>
        <v/>
      </c>
      <c r="J12" s="440" t="str">
        <f>IF($C$4="Inhibitors","",IF(ISBLANK($A12),"",VLOOKUP($C$4,'[1]Inhibitors for various CYPs'!$C$2:$O$28,12,FALSE)))</f>
        <v/>
      </c>
      <c r="K12" s="441" t="str">
        <f>IF($C$4="Inhibitors","",IF(ISBLANK($A12),"",VLOOKUP($C$4,'[1]Inhibitors for various CYPs'!$C$2:$O$28,6,FALSE)))</f>
        <v/>
      </c>
      <c r="L12" s="442" t="str">
        <f>IF($C$4="Inhibitors","",IF(ISBLANK($A12),"",VLOOKUP($C$4,'[1]Inhibitors for various CYPs'!$C$2:$O$28,7,FALSE)))</f>
        <v/>
      </c>
      <c r="M12" s="443" t="str">
        <f>IF(ISBLANK($A12),"",(G12*K12*L12/('[1]Enzymes-fm,CYP from rCYPs'!$U$6*F12))*1000000)</f>
        <v/>
      </c>
      <c r="N12" s="442" t="str">
        <f>IF($C$4="Inhibitors","",IF(ISBLANK($A12),"",VLOOKUP($C$4,'[1]Inhibitors for various CYPs'!$C$2:$O$28,8,FALSE)))</f>
        <v/>
      </c>
      <c r="O12" s="444" t="str">
        <f>IF($C$4="Inhibitors","",IF(ISBLANK($A12),"",VLOOKUP($C$4,'[1]Inhibitors for various CYPs'!$C$2:$O$28,9,FALSE)))</f>
        <v/>
      </c>
      <c r="P12" s="443" t="str">
        <f>IF(ISBLANK($A12),"",(G12*K12*L12*N12/('[1]Enzymes-fm,CYP from rCYPs'!$U$7*F12))*1000000 + T12)</f>
        <v/>
      </c>
      <c r="Q12" s="445" t="str">
        <f>IF($C$4="Inhibitors","",IF(ISBLANK($A12),"",VLOOKUP($C$4,'[1]Inhibitors for various CYPs'!$C$2:$O$28,10,FALSE)))</f>
        <v/>
      </c>
      <c r="R12" s="446" t="str">
        <f>IF($C$4="Inhibitors","",IF(ISBLANK($A12),"",VLOOKUP($C$4,'[1]Inhibitors for various CYPs'!$C$2:$O$28,11,FALSE)))</f>
        <v/>
      </c>
      <c r="S12" s="447" t="str">
        <f t="shared" si="0"/>
        <v/>
      </c>
      <c r="T12" s="448" t="str">
        <f t="shared" si="1"/>
        <v/>
      </c>
      <c r="U12" s="449" t="str">
        <f>IF($C$4="Inhibitors","",IF(ISBLANK($A12),"",VLOOKUP($C$4,'[1]Inhibitors for various CYPs'!$C$2:$P$28,13,FALSE)))</f>
        <v/>
      </c>
      <c r="V12" s="450" t="str">
        <f>IF($C$4="Inhibitors","",IF(ISBLANK($A12),"",VLOOKUP($C$4,'[1]Inhibitors for various CYPs'!$C$2:$P$28,14,FALSE)))</f>
        <v/>
      </c>
      <c r="W12" s="451" t="str">
        <f t="shared" si="6"/>
        <v/>
      </c>
      <c r="X12" s="452" t="str">
        <f t="shared" si="2"/>
        <v/>
      </c>
      <c r="Y12" s="453" t="e">
        <f t="shared" si="3"/>
        <v>#VALUE!</v>
      </c>
      <c r="Z12" s="452" t="str">
        <f t="shared" si="4"/>
        <v/>
      </c>
      <c r="AA12" s="454" t="str">
        <f>IF(OR(ISBLANK($A12),$V12="",$V12&lt;=0),"", (B12/C12)*(1/(E12*D12/(1+(V12*W12/('[1]Enzymes-fm,CYP from rCYPs'!$Z$10*(U12+W12))))+(1-(E12*D12)))))</f>
        <v/>
      </c>
      <c r="AB12" s="454" t="e">
        <f>IF(ISBLANK($V12),"", (1/($E12*$D12/(1+($V12*$W12/('[1]Enzymes-fm,CYP from rCYPs'!$Z$10*($U12+$W12))))+(1-($E12*$D12)))))</f>
        <v>#VALUE!</v>
      </c>
      <c r="AC12" s="453" t="e">
        <f>IF(ISBLANK($V12),"",1/(C12+((1-C12)/(1+(V12*M12/('[1]Enzymes-fm,CYP from rCYPs'!$AC$10*(U12+M12)))))))</f>
        <v>#VALUE!</v>
      </c>
      <c r="AD12" s="454" t="str">
        <f t="shared" si="5"/>
        <v/>
      </c>
      <c r="AE12" s="411"/>
    </row>
    <row r="13" spans="1:31" ht="21" customHeight="1" x14ac:dyDescent="0.25">
      <c r="A13" s="436"/>
      <c r="B13" s="437" t="str">
        <f>IF($B$4="Substrates","",IF(ISBLANK($A13),"",VLOOKUP($B$4,'[1]Substrates for various CYPs'!$C$4:$G$36,2,FALSE)))</f>
        <v/>
      </c>
      <c r="C13" s="437" t="str">
        <f>IF($B$4="Substrates","",IF(ISBLANK($A13),"",VLOOKUP($B$4,'[1]Substrates for various CYPs'!$C$4:$G$36,3,FALSE)))</f>
        <v/>
      </c>
      <c r="D13" s="437" t="str">
        <f>IF($B$4="Substrates","",IF(ISBLANK($A13),"",VLOOKUP($B$4,'[1]Substrates for various CYPs'!$C$4:$G$36,4,FALSE)))</f>
        <v/>
      </c>
      <c r="E13" s="437" t="str">
        <f>IF($B$4="Substrates","",IF(ISBLANK($A13),"",VLOOKUP($B$4,'[1]Substrates for various CYPs'!$C$4:$G$36,5,FALSE)))</f>
        <v/>
      </c>
      <c r="F13" s="438" t="str">
        <f>IF($C$4="Inhibitors","",IF(ISBLANK($A13),"",VLOOKUP($C$4,'[1]Inhibitors for various CYPs'!$C$2:$O$28,2,FALSE)))</f>
        <v/>
      </c>
      <c r="G13" s="439" t="str">
        <f>IF($C$4="Inhibitors","",IF(ISBLANK($A13),"",VLOOKUP($C$4,'[1]Inhibitors for various CYPs'!$C$2:$O$28,3,FALSE)))</f>
        <v/>
      </c>
      <c r="H13" s="439" t="str">
        <f>IF($C$4="Inhibitors","",IF(ISBLANK($A13),"",VLOOKUP($C$4,'[1]Inhibitors for various CYPs'!$C$2:$O$28,4,FALSE)))</f>
        <v/>
      </c>
      <c r="I13" s="439" t="str">
        <f>IF($C$4="Inhibitors","",IF(ISBLANK($A13),"",VLOOKUP($C$4,'[1]Inhibitors for various CYPs'!$C$2:$O$28,5,FALSE)))</f>
        <v/>
      </c>
      <c r="J13" s="440" t="str">
        <f>IF($C$4="Inhibitors","",IF(ISBLANK($A13),"",VLOOKUP($C$4,'[1]Inhibitors for various CYPs'!$C$2:$O$28,12,FALSE)))</f>
        <v/>
      </c>
      <c r="K13" s="441" t="str">
        <f>IF($C$4="Inhibitors","",IF(ISBLANK($A13),"",VLOOKUP($C$4,'[1]Inhibitors for various CYPs'!$C$2:$O$28,6,FALSE)))</f>
        <v/>
      </c>
      <c r="L13" s="442" t="str">
        <f>IF($C$4="Inhibitors","",IF(ISBLANK($A13),"",VLOOKUP($C$4,'[1]Inhibitors for various CYPs'!$C$2:$O$28,7,FALSE)))</f>
        <v/>
      </c>
      <c r="M13" s="443" t="str">
        <f>IF(ISBLANK($A13),"",(G13*K13*L13/('[1]Enzymes-fm,CYP from rCYPs'!$U$6*F13))*1000000)</f>
        <v/>
      </c>
      <c r="N13" s="442" t="str">
        <f>IF($C$4="Inhibitors","",IF(ISBLANK($A13),"",VLOOKUP($C$4,'[1]Inhibitors for various CYPs'!$C$2:$O$28,8,FALSE)))</f>
        <v/>
      </c>
      <c r="O13" s="444" t="str">
        <f>IF($C$4="Inhibitors","",IF(ISBLANK($A13),"",VLOOKUP($C$4,'[1]Inhibitors for various CYPs'!$C$2:$O$28,9,FALSE)))</f>
        <v/>
      </c>
      <c r="P13" s="443" t="str">
        <f>IF(ISBLANK($A13),"",(G13*K13*L13*N13/('[1]Enzymes-fm,CYP from rCYPs'!$U$7*F13))*1000000 + T13)</f>
        <v/>
      </c>
      <c r="Q13" s="445" t="str">
        <f>IF($C$4="Inhibitors","",IF(ISBLANK($A13),"",VLOOKUP($C$4,'[1]Inhibitors for various CYPs'!$C$2:$O$28,10,FALSE)))</f>
        <v/>
      </c>
      <c r="R13" s="446" t="str">
        <f>IF($C$4="Inhibitors","",IF(ISBLANK($A13),"",VLOOKUP($C$4,'[1]Inhibitors for various CYPs'!$C$2:$O$28,11,FALSE)))</f>
        <v/>
      </c>
      <c r="S13" s="447" t="str">
        <f>IF(ISBLANK($A13),"",T13*(R13*H13*60/(1-EXP(-R13*H13*60))))</f>
        <v/>
      </c>
      <c r="T13" s="448" t="str">
        <f>IF(ISBLANK($A13),"",(O13*G13/(Q13*H13*60*F13))*1000000)</f>
        <v/>
      </c>
      <c r="U13" s="449" t="str">
        <f>IF($C$4="Inhibitors","",IF(ISBLANK($A13),"",VLOOKUP($C$4,'[1]Inhibitors for various CYPs'!$C$2:$P$28,13,FALSE)))</f>
        <v/>
      </c>
      <c r="V13" s="450" t="str">
        <f>IF($C$4="Inhibitors","",IF(ISBLANK($A13),"",VLOOKUP($C$4,'[1]Inhibitors for various CYPs'!$C$2:$P$28,14,FALSE)))</f>
        <v/>
      </c>
      <c r="W13" s="451" t="str">
        <f>IF(OR($G13="",$G13&lt;=0,ISBLANK($A13)),"",IF($D$4 ="Isys",$T13*I13,IF($D$4 ="Imax",$S13*I13,IF($D$4 ="Iinlet",$P13*I13,""))))</f>
        <v/>
      </c>
      <c r="X13" s="452" t="str">
        <f t="shared" si="2"/>
        <v/>
      </c>
      <c r="Y13" s="453" t="e">
        <f>IF(ISBLANK($J13),"",1/($C13+((1-$C13)/(1+($M13/(J13))))))</f>
        <v>#VALUE!</v>
      </c>
      <c r="Z13" s="452" t="str">
        <f t="shared" si="4"/>
        <v/>
      </c>
      <c r="AA13" s="454" t="str">
        <f>IF(OR(ISBLANK($A13),$V13="",$V13&lt;=0),"", (B13/C13)*(1/(E13*D13/(1+(V13*W13/('[1]Enzymes-fm,CYP from rCYPs'!$Z$10*(U13+W13))))+(1-(E13*D13)))))</f>
        <v/>
      </c>
      <c r="AB13" s="454" t="e">
        <f>IF(ISBLANK($V13),"", (1/($E13*$D13/(1+($V13*$W13/('[1]Enzymes-fm,CYP from rCYPs'!$Z$10*($U13+$W13))))+(1-($E13*$D13)))))</f>
        <v>#VALUE!</v>
      </c>
      <c r="AC13" s="453" t="e">
        <f>IF(ISBLANK($V13),"",1/(C13+((1-C13)/(1+(V13*M13/('[1]Enzymes-fm,CYP from rCYPs'!$AC$10*(U13+M13)))))))</f>
        <v>#VALUE!</v>
      </c>
      <c r="AD13" s="454" t="str">
        <f>IF(OR(ISBLANK($A13),$V13="",$V13&lt;=0),"",AC13*AB13)</f>
        <v/>
      </c>
      <c r="AE13" s="411"/>
    </row>
    <row r="14" spans="1:31" ht="21" customHeight="1" x14ac:dyDescent="0.25">
      <c r="A14" s="436"/>
      <c r="B14" s="437" t="str">
        <f>IF($B$4="Substrates","",IF(ISBLANK($A14),"",VLOOKUP($B$4,'[1]Substrates for various CYPs'!$C$4:$G$36,2,FALSE)))</f>
        <v/>
      </c>
      <c r="C14" s="437" t="str">
        <f>IF($B$4="Substrates","",IF(ISBLANK($A14),"",VLOOKUP($B$4,'[1]Substrates for various CYPs'!$C$4:$G$36,3,FALSE)))</f>
        <v/>
      </c>
      <c r="D14" s="437" t="str">
        <f>IF($B$4="Substrates","",IF(ISBLANK($A14),"",VLOOKUP($B$4,'[1]Substrates for various CYPs'!$C$4:$G$36,4,FALSE)))</f>
        <v/>
      </c>
      <c r="E14" s="437" t="str">
        <f>IF($B$4="Substrates","",IF(ISBLANK($A14),"",VLOOKUP($B$4,'[1]Substrates for various CYPs'!$C$4:$G$36,5,FALSE)))</f>
        <v/>
      </c>
      <c r="F14" s="438" t="str">
        <f>IF($C$4="Inhibitors","",IF(ISBLANK($A14),"",VLOOKUP($C$4,'[1]Inhibitors for various CYPs'!$C$2:$O$28,2,FALSE)))</f>
        <v/>
      </c>
      <c r="G14" s="439" t="str">
        <f>IF($C$4="Inhibitors","",IF(ISBLANK($A14),"",VLOOKUP($C$4,'[1]Inhibitors for various CYPs'!$C$2:$O$28,3,FALSE)))</f>
        <v/>
      </c>
      <c r="H14" s="439" t="str">
        <f>IF($C$4="Inhibitors","",IF(ISBLANK($A14),"",VLOOKUP($C$4,'[1]Inhibitors for various CYPs'!$C$2:$O$28,4,FALSE)))</f>
        <v/>
      </c>
      <c r="I14" s="439" t="str">
        <f>IF($C$4="Inhibitors","",IF(ISBLANK($A14),"",VLOOKUP($C$4,'[1]Inhibitors for various CYPs'!$C$2:$O$28,5,FALSE)))</f>
        <v/>
      </c>
      <c r="J14" s="440" t="str">
        <f>IF($C$4="Inhibitors","",IF(ISBLANK($A14),"",VLOOKUP($C$4,'[1]Inhibitors for various CYPs'!$C$2:$O$28,12,FALSE)))</f>
        <v/>
      </c>
      <c r="K14" s="441" t="str">
        <f>IF($C$4="Inhibitors","",IF(ISBLANK($A14),"",VLOOKUP($C$4,'[1]Inhibitors for various CYPs'!$C$2:$O$28,6,FALSE)))</f>
        <v/>
      </c>
      <c r="L14" s="442" t="str">
        <f>IF($C$4="Inhibitors","",IF(ISBLANK($A14),"",VLOOKUP($C$4,'[1]Inhibitors for various CYPs'!$C$2:$O$28,7,FALSE)))</f>
        <v/>
      </c>
      <c r="M14" s="443" t="str">
        <f>IF(ISBLANK($A14),"",(G14*K14*L14/('[1]Enzymes-fm,CYP from rCYPs'!$U$6*F14))*1000000)</f>
        <v/>
      </c>
      <c r="N14" s="442" t="str">
        <f>IF($C$4="Inhibitors","",IF(ISBLANK($A14),"",VLOOKUP($C$4,'[1]Inhibitors for various CYPs'!$C$2:$O$28,8,FALSE)))</f>
        <v/>
      </c>
      <c r="O14" s="444" t="str">
        <f>IF($C$4="Inhibitors","",IF(ISBLANK($A14),"",VLOOKUP($C$4,'[1]Inhibitors for various CYPs'!$C$2:$O$28,9,FALSE)))</f>
        <v/>
      </c>
      <c r="P14" s="443" t="str">
        <f>IF(ISBLANK($A14),"",(G14*K14*L14*N14/('[1]Enzymes-fm,CYP from rCYPs'!$U$7*F14))*1000000 + T14)</f>
        <v/>
      </c>
      <c r="Q14" s="445" t="str">
        <f>IF($C$4="Inhibitors","",IF(ISBLANK($A14),"",VLOOKUP($C$4,'[1]Inhibitors for various CYPs'!$C$2:$O$28,10,FALSE)))</f>
        <v/>
      </c>
      <c r="R14" s="446" t="str">
        <f>IF($C$4="Inhibitors","",IF(ISBLANK($A14),"",VLOOKUP($C$4,'[1]Inhibitors for various CYPs'!$C$2:$O$28,11,FALSE)))</f>
        <v/>
      </c>
      <c r="S14" s="447" t="str">
        <f>IF(ISBLANK($A14),"",T14*(R14*H14*60/(1-EXP(-R14*H14*60))))</f>
        <v/>
      </c>
      <c r="T14" s="448" t="str">
        <f>IF(ISBLANK($A14),"",(O14*G14/(Q14*H14*60*F14))*1000000)</f>
        <v/>
      </c>
      <c r="U14" s="449" t="str">
        <f>IF($C$4="Inhibitors","",IF(ISBLANK($A14),"",VLOOKUP($C$4,'[1]Inhibitors for various CYPs'!$C$2:$P$28,13,FALSE)))</f>
        <v/>
      </c>
      <c r="V14" s="450" t="str">
        <f>IF($C$4="Inhibitors","",IF(ISBLANK($A14),"",VLOOKUP($C$4,'[1]Inhibitors for various CYPs'!$C$2:$P$28,14,FALSE)))</f>
        <v/>
      </c>
      <c r="W14" s="451" t="str">
        <f>IF(OR($G14="",$G14&lt;=0,ISBLANK($A14)),"",IF($D$4 ="Isys",$T14*I14,IF($D$4 ="Imax",$S14*I14,IF($D$4 ="Iinlet",$P14*I14,""))))</f>
        <v/>
      </c>
      <c r="X14" s="452" t="str">
        <f t="shared" si="2"/>
        <v/>
      </c>
      <c r="Y14" s="453" t="e">
        <f>IF(ISBLANK($J14),"",1/($C14+((1-$C14)/(1+($M14/(J14))))))</f>
        <v>#VALUE!</v>
      </c>
      <c r="Z14" s="452" t="str">
        <f t="shared" si="4"/>
        <v/>
      </c>
      <c r="AA14" s="454" t="str">
        <f>IF(OR(ISBLANK($A14),$V14="",$V14&lt;=0),"", (B14/C14)*(1/(E14*D14/(1+(V14*W14/('[1]Enzymes-fm,CYP from rCYPs'!$Z$10*(U14+W14))))+(1-(E14*D14)))))</f>
        <v/>
      </c>
      <c r="AB14" s="454" t="e">
        <f>IF(ISBLANK($V14),"", (1/($E14*$D14/(1+($V14*$W14/('[1]Enzymes-fm,CYP from rCYPs'!$Z$10*($U14+$W14))))+(1-($E14*$D14)))))</f>
        <v>#VALUE!</v>
      </c>
      <c r="AC14" s="453" t="e">
        <f>IF(ISBLANK($V14),"",1/(C14+((1-C14)/(1+(V14*M14/('[1]Enzymes-fm,CYP from rCYPs'!$AC$10*(U14+M14)))))))</f>
        <v>#VALUE!</v>
      </c>
      <c r="AD14" s="454" t="str">
        <f>IF(OR(ISBLANK($A14),$V14="",$V14&lt;=0),"",AC14*AB14)</f>
        <v/>
      </c>
      <c r="AE14" s="411"/>
    </row>
    <row r="15" spans="1:31" ht="21" customHeight="1" x14ac:dyDescent="0.25">
      <c r="A15" s="436"/>
      <c r="B15" s="437" t="str">
        <f>IF($B$4="Substrates","",IF(ISBLANK($A15),"",VLOOKUP($B$4,'[1]Substrates for various CYPs'!$C$4:$G$36,2,FALSE)))</f>
        <v/>
      </c>
      <c r="C15" s="437" t="str">
        <f>IF($B$4="Substrates","",IF(ISBLANK($A15),"",VLOOKUP($B$4,'[1]Substrates for various CYPs'!$C$4:$G$36,3,FALSE)))</f>
        <v/>
      </c>
      <c r="D15" s="437" t="str">
        <f>IF($B$4="Substrates","",IF(ISBLANK($A15),"",VLOOKUP($B$4,'[1]Substrates for various CYPs'!$C$4:$G$36,4,FALSE)))</f>
        <v/>
      </c>
      <c r="E15" s="437" t="str">
        <f>IF($B$4="Substrates","",IF(ISBLANK($A15),"",VLOOKUP($B$4,'[1]Substrates for various CYPs'!$C$4:$G$36,5,FALSE)))</f>
        <v/>
      </c>
      <c r="F15" s="438" t="str">
        <f>IF($C$4="Inhibitors","",IF(ISBLANK($A15),"",VLOOKUP($C$4,'[1]Inhibitors for various CYPs'!$C$2:$O$28,2,FALSE)))</f>
        <v/>
      </c>
      <c r="G15" s="439" t="str">
        <f>IF($C$4="Inhibitors","",IF(ISBLANK($A15),"",VLOOKUP($C$4,'[1]Inhibitors for various CYPs'!$C$2:$O$28,3,FALSE)))</f>
        <v/>
      </c>
      <c r="H15" s="439" t="str">
        <f>IF($C$4="Inhibitors","",IF(ISBLANK($A15),"",VLOOKUP($C$4,'[1]Inhibitors for various CYPs'!$C$2:$O$28,4,FALSE)))</f>
        <v/>
      </c>
      <c r="I15" s="439" t="str">
        <f>IF($C$4="Inhibitors","",IF(ISBLANK($A15),"",VLOOKUP($C$4,'[1]Inhibitors for various CYPs'!$C$2:$O$28,5,FALSE)))</f>
        <v/>
      </c>
      <c r="J15" s="440" t="str">
        <f>IF($C$4="Inhibitors","",IF(ISBLANK($A15),"",VLOOKUP($C$4,'[1]Inhibitors for various CYPs'!$C$2:$O$28,12,FALSE)))</f>
        <v/>
      </c>
      <c r="K15" s="441" t="str">
        <f>IF($C$4="Inhibitors","",IF(ISBLANK($A15),"",VLOOKUP($C$4,'[1]Inhibitors for various CYPs'!$C$2:$O$28,6,FALSE)))</f>
        <v/>
      </c>
      <c r="L15" s="442" t="str">
        <f>IF($C$4="Inhibitors","",IF(ISBLANK($A15),"",VLOOKUP($C$4,'[1]Inhibitors for various CYPs'!$C$2:$O$28,7,FALSE)))</f>
        <v/>
      </c>
      <c r="M15" s="443" t="str">
        <f>IF(ISBLANK($A15),"",(G15*K15*L15/('[1]Enzymes-fm,CYP from rCYPs'!$U$6*F15))*1000000)</f>
        <v/>
      </c>
      <c r="N15" s="442" t="str">
        <f>IF($C$4="Inhibitors","",IF(ISBLANK($A15),"",VLOOKUP($C$4,'[1]Inhibitors for various CYPs'!$C$2:$O$28,8,FALSE)))</f>
        <v/>
      </c>
      <c r="O15" s="444" t="str">
        <f>IF($C$4="Inhibitors","",IF(ISBLANK($A15),"",VLOOKUP($C$4,'[1]Inhibitors for various CYPs'!$C$2:$O$28,9,FALSE)))</f>
        <v/>
      </c>
      <c r="P15" s="443" t="str">
        <f>IF(ISBLANK($A15),"",(G15*K15*L15*N15/('[1]Enzymes-fm,CYP from rCYPs'!$U$7*F15))*1000000 + T15)</f>
        <v/>
      </c>
      <c r="Q15" s="445" t="str">
        <f>IF($C$4="Inhibitors","",IF(ISBLANK($A15),"",VLOOKUP($C$4,'[1]Inhibitors for various CYPs'!$C$2:$O$28,10,FALSE)))</f>
        <v/>
      </c>
      <c r="R15" s="446" t="str">
        <f>IF($C$4="Inhibitors","",IF(ISBLANK($A15),"",VLOOKUP($C$4,'[1]Inhibitors for various CYPs'!$C$2:$O$28,11,FALSE)))</f>
        <v/>
      </c>
      <c r="S15" s="447" t="str">
        <f t="shared" si="0"/>
        <v/>
      </c>
      <c r="T15" s="448" t="str">
        <f t="shared" si="1"/>
        <v/>
      </c>
      <c r="U15" s="449" t="str">
        <f>IF($C$4="Inhibitors","",IF(ISBLANK($A15),"",VLOOKUP($C$4,'[1]Inhibitors for various CYPs'!$C$2:$P$28,13,FALSE)))</f>
        <v/>
      </c>
      <c r="V15" s="450" t="str">
        <f>IF($C$4="Inhibitors","",IF(ISBLANK($A15),"",VLOOKUP($C$4,'[1]Inhibitors for various CYPs'!$C$2:$P$28,14,FALSE)))</f>
        <v/>
      </c>
      <c r="W15" s="451" t="str">
        <f t="shared" si="6"/>
        <v/>
      </c>
      <c r="X15" s="452" t="str">
        <f t="shared" si="2"/>
        <v/>
      </c>
      <c r="Y15" s="453" t="e">
        <f t="shared" si="3"/>
        <v>#VALUE!</v>
      </c>
      <c r="Z15" s="452" t="str">
        <f t="shared" si="4"/>
        <v/>
      </c>
      <c r="AA15" s="454" t="str">
        <f>IF(OR(ISBLANK($A15),$V15="",$V15&lt;=0),"", (B15/C15)*(1/(E15*D15/(1+(V15*W15/('[1]Enzymes-fm,CYP from rCYPs'!$Z$10*(U15+W15))))+(1-(E15*D15)))))</f>
        <v/>
      </c>
      <c r="AB15" s="454" t="e">
        <f>IF(ISBLANK($V15),"", (1/($E15*$D15/(1+($V15*$W15/('[1]Enzymes-fm,CYP from rCYPs'!$Z$10*($U15+$W15))))+(1-($E15*$D15)))))</f>
        <v>#VALUE!</v>
      </c>
      <c r="AC15" s="453" t="e">
        <f>IF(ISBLANK($V15),"",1/(C15+((1-C15)/(1+(V15*M15/('[1]Enzymes-fm,CYP from rCYPs'!$AC$10*(U15+M15)))))))</f>
        <v>#VALUE!</v>
      </c>
      <c r="AD15" s="454" t="str">
        <f t="shared" si="5"/>
        <v/>
      </c>
      <c r="AE15" s="411"/>
    </row>
    <row r="16" spans="1:31" ht="21" customHeight="1" x14ac:dyDescent="0.25">
      <c r="A16" s="436"/>
      <c r="B16" s="437" t="str">
        <f>IF($B$4="Substrates","",IF(ISBLANK($A16),"",VLOOKUP($B$4,'[1]Substrates for various CYPs'!$C$4:$G$36,2,FALSE)))</f>
        <v/>
      </c>
      <c r="C16" s="437" t="str">
        <f>IF($B$4="Substrates","",IF(ISBLANK($A16),"",VLOOKUP($B$4,'[1]Substrates for various CYPs'!$C$4:$G$36,3,FALSE)))</f>
        <v/>
      </c>
      <c r="D16" s="437" t="str">
        <f>IF($B$4="Substrates","",IF(ISBLANK($A16),"",VLOOKUP($B$4,'[1]Substrates for various CYPs'!$C$4:$G$36,4,FALSE)))</f>
        <v/>
      </c>
      <c r="E16" s="437" t="str">
        <f>IF($B$4="Substrates","",IF(ISBLANK($A16),"",VLOOKUP($B$4,'[1]Substrates for various CYPs'!$C$4:$G$36,5,FALSE)))</f>
        <v/>
      </c>
      <c r="F16" s="438" t="str">
        <f>IF($C$4="Inhibitors","",IF(ISBLANK($A16),"",VLOOKUP($C$4,'[1]Inhibitors for various CYPs'!$C$2:$O$28,2,FALSE)))</f>
        <v/>
      </c>
      <c r="G16" s="439" t="str">
        <f>IF($C$4="Inhibitors","",IF(ISBLANK($A16),"",VLOOKUP($C$4,'[1]Inhibitors for various CYPs'!$C$2:$O$28,3,FALSE)))</f>
        <v/>
      </c>
      <c r="H16" s="439" t="str">
        <f>IF($C$4="Inhibitors","",IF(ISBLANK($A16),"",VLOOKUP($C$4,'[1]Inhibitors for various CYPs'!$C$2:$O$28,4,FALSE)))</f>
        <v/>
      </c>
      <c r="I16" s="439" t="str">
        <f>IF($C$4="Inhibitors","",IF(ISBLANK($A16),"",VLOOKUP($C$4,'[1]Inhibitors for various CYPs'!$C$2:$O$28,5,FALSE)))</f>
        <v/>
      </c>
      <c r="J16" s="440" t="str">
        <f>IF($C$4="Inhibitors","",IF(ISBLANK($A16),"",VLOOKUP($C$4,'[1]Inhibitors for various CYPs'!$C$2:$O$28,12,FALSE)))</f>
        <v/>
      </c>
      <c r="K16" s="441" t="str">
        <f>IF($C$4="Inhibitors","",IF(ISBLANK($A16),"",VLOOKUP($C$4,'[1]Inhibitors for various CYPs'!$C$2:$O$28,6,FALSE)))</f>
        <v/>
      </c>
      <c r="L16" s="442" t="str">
        <f>IF($C$4="Inhibitors","",IF(ISBLANK($A16),"",VLOOKUP($C$4,'[1]Inhibitors for various CYPs'!$C$2:$O$28,7,FALSE)))</f>
        <v/>
      </c>
      <c r="M16" s="443" t="str">
        <f>IF(ISBLANK($A16),"",(G16*K16*L16/('[1]Enzymes-fm,CYP from rCYPs'!$U$6*F16))*1000000)</f>
        <v/>
      </c>
      <c r="N16" s="442" t="str">
        <f>IF($C$4="Inhibitors","",IF(ISBLANK($A16),"",VLOOKUP($C$4,'[1]Inhibitors for various CYPs'!$C$2:$O$28,8,FALSE)))</f>
        <v/>
      </c>
      <c r="O16" s="444" t="str">
        <f>IF($C$4="Inhibitors","",IF(ISBLANK($A16),"",VLOOKUP($C$4,'[1]Inhibitors for various CYPs'!$C$2:$O$28,9,FALSE)))</f>
        <v/>
      </c>
      <c r="P16" s="443" t="str">
        <f>IF(ISBLANK($A16),"",(G16*K16*L16*N16/('[1]Enzymes-fm,CYP from rCYPs'!$U$7*F16))*1000000 + T16)</f>
        <v/>
      </c>
      <c r="Q16" s="445" t="str">
        <f>IF($C$4="Inhibitors","",IF(ISBLANK($A16),"",VLOOKUP($C$4,'[1]Inhibitors for various CYPs'!$C$2:$O$28,10,FALSE)))</f>
        <v/>
      </c>
      <c r="R16" s="446" t="str">
        <f>IF($C$4="Inhibitors","",IF(ISBLANK($A16),"",VLOOKUP($C$4,'[1]Inhibitors for various CYPs'!$C$2:$O$28,11,FALSE)))</f>
        <v/>
      </c>
      <c r="S16" s="447" t="str">
        <f t="shared" si="0"/>
        <v/>
      </c>
      <c r="T16" s="448" t="str">
        <f t="shared" si="1"/>
        <v/>
      </c>
      <c r="U16" s="449" t="str">
        <f>IF($C$4="Inhibitors","",IF(ISBLANK($A16),"",VLOOKUP($C$4,'[1]Inhibitors for various CYPs'!$C$2:$P$28,13,FALSE)))</f>
        <v/>
      </c>
      <c r="V16" s="450" t="str">
        <f>IF($C$4="Inhibitors","",IF(ISBLANK($A16),"",VLOOKUP($C$4,'[1]Inhibitors for various CYPs'!$C$2:$P$28,14,FALSE)))</f>
        <v/>
      </c>
      <c r="W16" s="451" t="str">
        <f t="shared" si="6"/>
        <v/>
      </c>
      <c r="X16" s="452" t="str">
        <f t="shared" si="2"/>
        <v/>
      </c>
      <c r="Y16" s="453" t="e">
        <f t="shared" si="3"/>
        <v>#VALUE!</v>
      </c>
      <c r="Z16" s="452" t="str">
        <f t="shared" si="4"/>
        <v/>
      </c>
      <c r="AA16" s="454" t="str">
        <f>IF(OR(ISBLANK($A16),$V16="",$V16&lt;=0),"", (B16/C16)*(1/(E16*D16/(1+(V16*W16/('[1]Enzymes-fm,CYP from rCYPs'!$Z$10*(U16+W16))))+(1-(E16*D16)))))</f>
        <v/>
      </c>
      <c r="AB16" s="454" t="e">
        <f>IF(ISBLANK($V16),"", (1/($E16*$D16/(1+($V16*$W16/('[1]Enzymes-fm,CYP from rCYPs'!$Z$10*($U16+$W16))))+(1-($E16*$D16)))))</f>
        <v>#VALUE!</v>
      </c>
      <c r="AC16" s="453" t="e">
        <f>IF(ISBLANK($V16),"",1/(C16+((1-C16)/(1+(V16*M16/('[1]Enzymes-fm,CYP from rCYPs'!$AC$10*(U16+M16)))))))</f>
        <v>#VALUE!</v>
      </c>
      <c r="AD16" s="454" t="str">
        <f t="shared" si="5"/>
        <v/>
      </c>
      <c r="AE16" s="411"/>
    </row>
    <row r="17" spans="1:31" ht="21" customHeight="1" x14ac:dyDescent="0.25">
      <c r="A17" s="436"/>
      <c r="B17" s="437" t="str">
        <f>IF($B$4="Substrates","",IF(ISBLANK($A17),"",VLOOKUP($B$4,'[1]Substrates for various CYPs'!$C$4:$G$36,2,FALSE)))</f>
        <v/>
      </c>
      <c r="C17" s="437" t="str">
        <f>IF($B$4="Substrates","",IF(ISBLANK($A17),"",VLOOKUP($B$4,'[1]Substrates for various CYPs'!$C$4:$G$36,3,FALSE)))</f>
        <v/>
      </c>
      <c r="D17" s="437" t="str">
        <f>IF($B$4="Substrates","",IF(ISBLANK($A17),"",VLOOKUP($B$4,'[1]Substrates for various CYPs'!$C$4:$G$36,4,FALSE)))</f>
        <v/>
      </c>
      <c r="E17" s="437" t="str">
        <f>IF($B$4="Substrates","",IF(ISBLANK($A17),"",VLOOKUP($B$4,'[1]Substrates for various CYPs'!$C$4:$G$36,5,FALSE)))</f>
        <v/>
      </c>
      <c r="F17" s="438" t="str">
        <f>IF($C$4="Inhibitors","",IF(ISBLANK($A17),"",VLOOKUP($C$4,'[1]Inhibitors for various CYPs'!$C$2:$O$28,2,FALSE)))</f>
        <v/>
      </c>
      <c r="G17" s="439" t="str">
        <f>IF($C$4="Inhibitors","",IF(ISBLANK($A17),"",VLOOKUP($C$4,'[1]Inhibitors for various CYPs'!$C$2:$O$28,3,FALSE)))</f>
        <v/>
      </c>
      <c r="H17" s="439" t="str">
        <f>IF($C$4="Inhibitors","",IF(ISBLANK($A17),"",VLOOKUP($C$4,'[1]Inhibitors for various CYPs'!$C$2:$O$28,4,FALSE)))</f>
        <v/>
      </c>
      <c r="I17" s="439" t="str">
        <f>IF($C$4="Inhibitors","",IF(ISBLANK($A17),"",VLOOKUP($C$4,'[1]Inhibitors for various CYPs'!$C$2:$O$28,5,FALSE)))</f>
        <v/>
      </c>
      <c r="J17" s="440" t="str">
        <f>IF($C$4="Inhibitors","",IF(ISBLANK($A17),"",VLOOKUP($C$4,'[1]Inhibitors for various CYPs'!$C$2:$O$28,12,FALSE)))</f>
        <v/>
      </c>
      <c r="K17" s="441" t="str">
        <f>IF($C$4="Inhibitors","",IF(ISBLANK($A17),"",VLOOKUP($C$4,'[1]Inhibitors for various CYPs'!$C$2:$O$28,6,FALSE)))</f>
        <v/>
      </c>
      <c r="L17" s="442" t="str">
        <f>IF($C$4="Inhibitors","",IF(ISBLANK($A17),"",VLOOKUP($C$4,'[1]Inhibitors for various CYPs'!$C$2:$O$28,7,FALSE)))</f>
        <v/>
      </c>
      <c r="M17" s="443" t="str">
        <f>IF(ISBLANK($A17),"",(G17*K17*L17/('[1]Enzymes-fm,CYP from rCYPs'!$U$6*F17))*1000000)</f>
        <v/>
      </c>
      <c r="N17" s="442" t="str">
        <f>IF($C$4="Inhibitors","",IF(ISBLANK($A17),"",VLOOKUP($C$4,'[1]Inhibitors for various CYPs'!$C$2:$O$28,8,FALSE)))</f>
        <v/>
      </c>
      <c r="O17" s="444" t="str">
        <f>IF($C$4="Inhibitors","",IF(ISBLANK($A17),"",VLOOKUP($C$4,'[1]Inhibitors for various CYPs'!$C$2:$O$28,9,FALSE)))</f>
        <v/>
      </c>
      <c r="P17" s="443" t="str">
        <f>IF(ISBLANK($A17),"",(G17*K17*L17*N17/('[1]Enzymes-fm,CYP from rCYPs'!$U$7*F17))*1000000 + T17)</f>
        <v/>
      </c>
      <c r="Q17" s="445" t="str">
        <f>IF($C$4="Inhibitors","",IF(ISBLANK($A17),"",VLOOKUP($C$4,'[1]Inhibitors for various CYPs'!$C$2:$O$28,10,FALSE)))</f>
        <v/>
      </c>
      <c r="R17" s="446" t="str">
        <f>IF($C$4="Inhibitors","",IF(ISBLANK($A17),"",VLOOKUP($C$4,'[1]Inhibitors for various CYPs'!$C$2:$O$28,11,FALSE)))</f>
        <v/>
      </c>
      <c r="S17" s="447" t="str">
        <f t="shared" si="0"/>
        <v/>
      </c>
      <c r="T17" s="448" t="str">
        <f t="shared" si="1"/>
        <v/>
      </c>
      <c r="U17" s="449" t="str">
        <f>IF($C$4="Inhibitors","",IF(ISBLANK($A17),"",VLOOKUP($C$4,'[1]Inhibitors for various CYPs'!$C$2:$P$28,13,FALSE)))</f>
        <v/>
      </c>
      <c r="V17" s="450" t="str">
        <f>IF($C$4="Inhibitors","",IF(ISBLANK($A17),"",VLOOKUP($C$4,'[1]Inhibitors for various CYPs'!$C$2:$P$28,14,FALSE)))</f>
        <v/>
      </c>
      <c r="W17" s="451" t="str">
        <f t="shared" si="6"/>
        <v/>
      </c>
      <c r="X17" s="452" t="str">
        <f t="shared" si="2"/>
        <v/>
      </c>
      <c r="Y17" s="453" t="e">
        <f t="shared" si="3"/>
        <v>#VALUE!</v>
      </c>
      <c r="Z17" s="452" t="str">
        <f t="shared" si="4"/>
        <v/>
      </c>
      <c r="AA17" s="454" t="str">
        <f>IF(OR(ISBLANK($A17),$V17="",$V17&lt;=0),"", (B17/C17)*(1/(E17*D17/(1+(V17*W17/('[1]Enzymes-fm,CYP from rCYPs'!$Z$10*(U17+W17))))+(1-(E17*D17)))))</f>
        <v/>
      </c>
      <c r="AB17" s="454" t="e">
        <f>IF(ISBLANK($V17),"", (1/($E17*$D17/(1+($V17*$W17/('[1]Enzymes-fm,CYP from rCYPs'!$Z$10*($U17+$W17))))+(1-($E17*$D17)))))</f>
        <v>#VALUE!</v>
      </c>
      <c r="AC17" s="453" t="e">
        <f>IF(ISBLANK($V17),"",1/(C17+((1-C17)/(1+(V17*M17/('[1]Enzymes-fm,CYP from rCYPs'!$AC$10*(U17+M17)))))))</f>
        <v>#VALUE!</v>
      </c>
      <c r="AD17" s="454" t="str">
        <f t="shared" si="5"/>
        <v/>
      </c>
      <c r="AE17" s="411"/>
    </row>
    <row r="18" spans="1:31" ht="21" customHeight="1" x14ac:dyDescent="0.25">
      <c r="A18" s="436"/>
      <c r="B18" s="437" t="str">
        <f>IF($B$4="Substrates","",IF(ISBLANK($A18),"",VLOOKUP($B$4,'[1]Substrates for various CYPs'!$C$4:$G$36,2,FALSE)))</f>
        <v/>
      </c>
      <c r="C18" s="437" t="str">
        <f>IF($B$4="Substrates","",IF(ISBLANK($A18),"",VLOOKUP($B$4,'[1]Substrates for various CYPs'!$C$4:$G$36,3,FALSE)))</f>
        <v/>
      </c>
      <c r="D18" s="437" t="str">
        <f>IF($B$4="Substrates","",IF(ISBLANK($A18),"",VLOOKUP($B$4,'[1]Substrates for various CYPs'!$C$4:$G$36,4,FALSE)))</f>
        <v/>
      </c>
      <c r="E18" s="437" t="str">
        <f>IF($B$4="Substrates","",IF(ISBLANK($A18),"",VLOOKUP($B$4,'[1]Substrates for various CYPs'!$C$4:$G$36,5,FALSE)))</f>
        <v/>
      </c>
      <c r="F18" s="438" t="str">
        <f>IF($C$4="Inhibitors","",IF(ISBLANK($A18),"",VLOOKUP($C$4,'[1]Inhibitors for various CYPs'!$C$2:$O$28,2,FALSE)))</f>
        <v/>
      </c>
      <c r="G18" s="439" t="str">
        <f>IF($C$4="Inhibitors","",IF(ISBLANK($A18),"",VLOOKUP($C$4,'[1]Inhibitors for various CYPs'!$C$2:$O$28,3,FALSE)))</f>
        <v/>
      </c>
      <c r="H18" s="439" t="str">
        <f>IF($C$4="Inhibitors","",IF(ISBLANK($A18),"",VLOOKUP($C$4,'[1]Inhibitors for various CYPs'!$C$2:$O$28,4,FALSE)))</f>
        <v/>
      </c>
      <c r="I18" s="439" t="str">
        <f>IF($C$4="Inhibitors","",IF(ISBLANK($A18),"",VLOOKUP($C$4,'[1]Inhibitors for various CYPs'!$C$2:$O$28,5,FALSE)))</f>
        <v/>
      </c>
      <c r="J18" s="440" t="str">
        <f>IF($C$4="Inhibitors","",IF(ISBLANK($A18),"",VLOOKUP($C$4,'[1]Inhibitors for various CYPs'!$C$2:$O$28,12,FALSE)))</f>
        <v/>
      </c>
      <c r="K18" s="441" t="str">
        <f>IF($C$4="Inhibitors","",IF(ISBLANK($A18),"",VLOOKUP($C$4,'[1]Inhibitors for various CYPs'!$C$2:$O$28,6,FALSE)))</f>
        <v/>
      </c>
      <c r="L18" s="442" t="str">
        <f>IF($C$4="Inhibitors","",IF(ISBLANK($A18),"",VLOOKUP($C$4,'[1]Inhibitors for various CYPs'!$C$2:$O$28,7,FALSE)))</f>
        <v/>
      </c>
      <c r="M18" s="443" t="str">
        <f>IF(ISBLANK($A18),"",(G18*K18*L18/('[1]Enzymes-fm,CYP from rCYPs'!$U$6*F18))*1000000)</f>
        <v/>
      </c>
      <c r="N18" s="442" t="str">
        <f>IF($C$4="Inhibitors","",IF(ISBLANK($A18),"",VLOOKUP($C$4,'[1]Inhibitors for various CYPs'!$C$2:$O$28,8,FALSE)))</f>
        <v/>
      </c>
      <c r="O18" s="444" t="str">
        <f>IF($C$4="Inhibitors","",IF(ISBLANK($A18),"",VLOOKUP($C$4,'[1]Inhibitors for various CYPs'!$C$2:$O$28,9,FALSE)))</f>
        <v/>
      </c>
      <c r="P18" s="443" t="str">
        <f>IF(ISBLANK($A18),"",(G18*K18*L18*N18/('[1]Enzymes-fm,CYP from rCYPs'!$U$7*F18))*1000000 + T18)</f>
        <v/>
      </c>
      <c r="Q18" s="445" t="str">
        <f>IF($C$4="Inhibitors","",IF(ISBLANK($A18),"",VLOOKUP($C$4,'[1]Inhibitors for various CYPs'!$C$2:$O$28,10,FALSE)))</f>
        <v/>
      </c>
      <c r="R18" s="446" t="str">
        <f>IF($C$4="Inhibitors","",IF(ISBLANK($A18),"",VLOOKUP($C$4,'[1]Inhibitors for various CYPs'!$C$2:$O$28,11,FALSE)))</f>
        <v/>
      </c>
      <c r="S18" s="447" t="str">
        <f t="shared" si="0"/>
        <v/>
      </c>
      <c r="T18" s="448" t="str">
        <f t="shared" si="1"/>
        <v/>
      </c>
      <c r="U18" s="449" t="str">
        <f>IF($C$4="Inhibitors","",IF(ISBLANK($A18),"",VLOOKUP($C$4,'[1]Inhibitors for various CYPs'!$C$2:$P$28,13,FALSE)))</f>
        <v/>
      </c>
      <c r="V18" s="450" t="str">
        <f>IF($C$4="Inhibitors","",IF(ISBLANK($A18),"",VLOOKUP($C$4,'[1]Inhibitors for various CYPs'!$C$2:$P$28,14,FALSE)))</f>
        <v/>
      </c>
      <c r="W18" s="451" t="str">
        <f t="shared" si="6"/>
        <v/>
      </c>
      <c r="X18" s="452" t="str">
        <f t="shared" si="2"/>
        <v/>
      </c>
      <c r="Y18" s="453" t="e">
        <f t="shared" si="3"/>
        <v>#VALUE!</v>
      </c>
      <c r="Z18" s="452" t="str">
        <f t="shared" si="4"/>
        <v/>
      </c>
      <c r="AA18" s="454" t="str">
        <f>IF(OR(ISBLANK($A18),$V18="",$V18&lt;=0),"", (B18/C18)*(1/(E18*D18/(1+(V18*W18/('[1]Enzymes-fm,CYP from rCYPs'!$Z$10*(U18+W18))))+(1-(E18*D18)))))</f>
        <v/>
      </c>
      <c r="AB18" s="454" t="e">
        <f>IF(ISBLANK($V18),"", (1/($E18*$D18/(1+($V18*$W18/('[1]Enzymes-fm,CYP from rCYPs'!$Z$10*($U18+$W18))))+(1-($E18*$D18)))))</f>
        <v>#VALUE!</v>
      </c>
      <c r="AC18" s="453" t="e">
        <f>IF(ISBLANK($V18),"",1/(C18+((1-C18)/(1+(V18*M18/('[1]Enzymes-fm,CYP from rCYPs'!$AC$10*(U18+M18)))))))</f>
        <v>#VALUE!</v>
      </c>
      <c r="AD18" s="454" t="str">
        <f t="shared" si="5"/>
        <v/>
      </c>
      <c r="AE18" s="411"/>
    </row>
    <row r="19" spans="1:31" ht="21" customHeight="1" x14ac:dyDescent="0.25">
      <c r="A19" s="436"/>
      <c r="B19" s="437" t="str">
        <f>IF($B$4="Substrates","",IF(ISBLANK($A19),"",VLOOKUP($B$4,'[1]Substrates for various CYPs'!$C$4:$G$36,2,FALSE)))</f>
        <v/>
      </c>
      <c r="C19" s="437" t="str">
        <f>IF($B$4="Substrates","",IF(ISBLANK($A19),"",VLOOKUP($B$4,'[1]Substrates for various CYPs'!$C$4:$G$36,3,FALSE)))</f>
        <v/>
      </c>
      <c r="D19" s="437" t="str">
        <f>IF($B$4="Substrates","",IF(ISBLANK($A19),"",VLOOKUP($B$4,'[1]Substrates for various CYPs'!$C$4:$G$36,4,FALSE)))</f>
        <v/>
      </c>
      <c r="E19" s="437" t="str">
        <f>IF($B$4="Substrates","",IF(ISBLANK($A19),"",VLOOKUP($B$4,'[1]Substrates for various CYPs'!$C$4:$G$36,5,FALSE)))</f>
        <v/>
      </c>
      <c r="F19" s="438" t="str">
        <f>IF($C$4="Inhibitors","",IF(ISBLANK($A19),"",VLOOKUP($C$4,'[1]Inhibitors for various CYPs'!$C$2:$O$28,2,FALSE)))</f>
        <v/>
      </c>
      <c r="G19" s="439" t="str">
        <f>IF($C$4="Inhibitors","",IF(ISBLANK($A19),"",VLOOKUP($C$4,'[1]Inhibitors for various CYPs'!$C$2:$O$28,3,FALSE)))</f>
        <v/>
      </c>
      <c r="H19" s="439" t="str">
        <f>IF($C$4="Inhibitors","",IF(ISBLANK($A19),"",VLOOKUP($C$4,'[1]Inhibitors for various CYPs'!$C$2:$O$28,4,FALSE)))</f>
        <v/>
      </c>
      <c r="I19" s="439" t="str">
        <f>IF($C$4="Inhibitors","",IF(ISBLANK($A19),"",VLOOKUP($C$4,'[1]Inhibitors for various CYPs'!$C$2:$O$28,5,FALSE)))</f>
        <v/>
      </c>
      <c r="J19" s="440" t="str">
        <f>IF($C$4="Inhibitors","",IF(ISBLANK($A19),"",VLOOKUP($C$4,'[1]Inhibitors for various CYPs'!$C$2:$O$28,12,FALSE)))</f>
        <v/>
      </c>
      <c r="K19" s="441" t="str">
        <f>IF($C$4="Inhibitors","",IF(ISBLANK($A19),"",VLOOKUP($C$4,'[1]Inhibitors for various CYPs'!$C$2:$O$28,6,FALSE)))</f>
        <v/>
      </c>
      <c r="L19" s="442" t="str">
        <f>IF($C$4="Inhibitors","",IF(ISBLANK($A19),"",VLOOKUP($C$4,'[1]Inhibitors for various CYPs'!$C$2:$O$28,7,FALSE)))</f>
        <v/>
      </c>
      <c r="M19" s="443" t="str">
        <f>IF(ISBLANK($A19),"",(G19*K19*L19/('[1]Enzymes-fm,CYP from rCYPs'!$U$6*F19))*1000000)</f>
        <v/>
      </c>
      <c r="N19" s="442" t="str">
        <f>IF($C$4="Inhibitors","",IF(ISBLANK($A19),"",VLOOKUP($C$4,'[1]Inhibitors for various CYPs'!$C$2:$O$28,8,FALSE)))</f>
        <v/>
      </c>
      <c r="O19" s="444" t="str">
        <f>IF($C$4="Inhibitors","",IF(ISBLANK($A19),"",VLOOKUP($C$4,'[1]Inhibitors for various CYPs'!$C$2:$O$28,9,FALSE)))</f>
        <v/>
      </c>
      <c r="P19" s="443" t="str">
        <f>IF(ISBLANK($A19),"",(G19*K19*L19*N19/('[1]Enzymes-fm,CYP from rCYPs'!$U$7*F19))*1000000 + T19)</f>
        <v/>
      </c>
      <c r="Q19" s="445" t="str">
        <f>IF($C$4="Inhibitors","",IF(ISBLANK($A19),"",VLOOKUP($C$4,'[1]Inhibitors for various CYPs'!$C$2:$O$28,10,FALSE)))</f>
        <v/>
      </c>
      <c r="R19" s="446" t="str">
        <f>IF($C$4="Inhibitors","",IF(ISBLANK($A19),"",VLOOKUP($C$4,'[1]Inhibitors for various CYPs'!$C$2:$O$28,11,FALSE)))</f>
        <v/>
      </c>
      <c r="S19" s="447" t="str">
        <f t="shared" si="0"/>
        <v/>
      </c>
      <c r="T19" s="448" t="str">
        <f t="shared" si="1"/>
        <v/>
      </c>
      <c r="U19" s="449" t="str">
        <f>IF($C$4="Inhibitors","",IF(ISBLANK($A19),"",VLOOKUP($C$4,'[1]Inhibitors for various CYPs'!$C$2:$P$28,13,FALSE)))</f>
        <v/>
      </c>
      <c r="V19" s="450" t="str">
        <f>IF($C$4="Inhibitors","",IF(ISBLANK($A19),"",VLOOKUP($C$4,'[1]Inhibitors for various CYPs'!$C$2:$P$28,14,FALSE)))</f>
        <v/>
      </c>
      <c r="W19" s="451" t="str">
        <f t="shared" si="6"/>
        <v/>
      </c>
      <c r="X19" s="452" t="str">
        <f t="shared" si="2"/>
        <v/>
      </c>
      <c r="Y19" s="453" t="e">
        <f t="shared" si="3"/>
        <v>#VALUE!</v>
      </c>
      <c r="Z19" s="452" t="str">
        <f t="shared" si="4"/>
        <v/>
      </c>
      <c r="AA19" s="454" t="str">
        <f>IF(OR(ISBLANK($A19),$V19="",$V19&lt;=0),"", (B19/C19)*(1/(E19*D19/(1+(V19*W19/('[1]Enzymes-fm,CYP from rCYPs'!$Z$10*(U19+W19))))+(1-(E19*D19)))))</f>
        <v/>
      </c>
      <c r="AB19" s="454" t="e">
        <f>IF(ISBLANK($V19),"", (1/($E19*$D19/(1+($V19*$W19/('[1]Enzymes-fm,CYP from rCYPs'!$Z$10*($U19+$W19))))+(1-($E19*$D19)))))</f>
        <v>#VALUE!</v>
      </c>
      <c r="AC19" s="453" t="e">
        <f>IF(ISBLANK($V19),"",1/(C19+((1-C19)/(1+(V19*M19/('[1]Enzymes-fm,CYP from rCYPs'!$AC$10*(U19+M19)))))))</f>
        <v>#VALUE!</v>
      </c>
      <c r="AD19" s="454" t="str">
        <f t="shared" si="5"/>
        <v/>
      </c>
      <c r="AE19" s="411"/>
    </row>
    <row r="20" spans="1:31" ht="21" customHeight="1" x14ac:dyDescent="0.25">
      <c r="A20" s="436"/>
      <c r="B20" s="437" t="str">
        <f>IF($B$4="Substrates","",IF(ISBLANK($A20),"",VLOOKUP($B$4,'[1]Substrates for various CYPs'!$C$4:$G$36,2,FALSE)))</f>
        <v/>
      </c>
      <c r="C20" s="437" t="str">
        <f>IF($B$4="Substrates","",IF(ISBLANK($A20),"",VLOOKUP($B$4,'[1]Substrates for various CYPs'!$C$4:$G$36,3,FALSE)))</f>
        <v/>
      </c>
      <c r="D20" s="437" t="str">
        <f>IF($B$4="Substrates","",IF(ISBLANK($A20),"",VLOOKUP($B$4,'[1]Substrates for various CYPs'!$C$4:$G$36,4,FALSE)))</f>
        <v/>
      </c>
      <c r="E20" s="437" t="str">
        <f>IF($B$4="Substrates","",IF(ISBLANK($A20),"",VLOOKUP($B$4,'[1]Substrates for various CYPs'!$C$4:$G$36,5,FALSE)))</f>
        <v/>
      </c>
      <c r="F20" s="438" t="str">
        <f>IF($C$4="Inhibitors","",IF(ISBLANK($A20),"",VLOOKUP($C$4,'[1]Inhibitors for various CYPs'!$C$2:$O$28,2,FALSE)))</f>
        <v/>
      </c>
      <c r="G20" s="439" t="str">
        <f>IF($C$4="Inhibitors","",IF(ISBLANK($A20),"",VLOOKUP($C$4,'[1]Inhibitors for various CYPs'!$C$2:$O$28,3,FALSE)))</f>
        <v/>
      </c>
      <c r="H20" s="439" t="str">
        <f>IF($C$4="Inhibitors","",IF(ISBLANK($A20),"",VLOOKUP($C$4,'[1]Inhibitors for various CYPs'!$C$2:$O$28,4,FALSE)))</f>
        <v/>
      </c>
      <c r="I20" s="439" t="str">
        <f>IF($C$4="Inhibitors","",IF(ISBLANK($A20),"",VLOOKUP($C$4,'[1]Inhibitors for various CYPs'!$C$2:$O$28,5,FALSE)))</f>
        <v/>
      </c>
      <c r="J20" s="440" t="str">
        <f>IF($C$4="Inhibitors","",IF(ISBLANK($A20),"",VLOOKUP($C$4,'[1]Inhibitors for various CYPs'!$C$2:$O$28,12,FALSE)))</f>
        <v/>
      </c>
      <c r="K20" s="441" t="str">
        <f>IF($C$4="Inhibitors","",IF(ISBLANK($A20),"",VLOOKUP($C$4,'[1]Inhibitors for various CYPs'!$C$2:$O$28,6,FALSE)))</f>
        <v/>
      </c>
      <c r="L20" s="442" t="str">
        <f>IF($C$4="Inhibitors","",IF(ISBLANK($A20),"",VLOOKUP($C$4,'[1]Inhibitors for various CYPs'!$C$2:$O$28,7,FALSE)))</f>
        <v/>
      </c>
      <c r="M20" s="443" t="str">
        <f>IF(ISBLANK($A20),"",(G20*K20*L20/('[1]Enzymes-fm,CYP from rCYPs'!$U$6*F20))*1000000)</f>
        <v/>
      </c>
      <c r="N20" s="442" t="str">
        <f>IF($C$4="Inhibitors","",IF(ISBLANK($A20),"",VLOOKUP($C$4,'[1]Inhibitors for various CYPs'!$C$2:$O$28,8,FALSE)))</f>
        <v/>
      </c>
      <c r="O20" s="444" t="str">
        <f>IF($C$4="Inhibitors","",IF(ISBLANK($A20),"",VLOOKUP($C$4,'[1]Inhibitors for various CYPs'!$C$2:$O$28,9,FALSE)))</f>
        <v/>
      </c>
      <c r="P20" s="443" t="str">
        <f>IF(ISBLANK($A20),"",(G20*K20*L20*N20/('[1]Enzymes-fm,CYP from rCYPs'!$U$7*F20))*1000000 + T20)</f>
        <v/>
      </c>
      <c r="Q20" s="445" t="str">
        <f>IF($C$4="Inhibitors","",IF(ISBLANK($A20),"",VLOOKUP($C$4,'[1]Inhibitors for various CYPs'!$C$2:$O$28,10,FALSE)))</f>
        <v/>
      </c>
      <c r="R20" s="446" t="str">
        <f>IF($C$4="Inhibitors","",IF(ISBLANK($A20),"",VLOOKUP($C$4,'[1]Inhibitors for various CYPs'!$C$2:$O$28,11,FALSE)))</f>
        <v/>
      </c>
      <c r="S20" s="447" t="str">
        <f t="shared" si="0"/>
        <v/>
      </c>
      <c r="T20" s="448" t="str">
        <f t="shared" si="1"/>
        <v/>
      </c>
      <c r="U20" s="449" t="str">
        <f>IF($C$4="Inhibitors","",IF(ISBLANK($A20),"",VLOOKUP($C$4,'[1]Inhibitors for various CYPs'!$C$2:$P$28,13,FALSE)))</f>
        <v/>
      </c>
      <c r="V20" s="450" t="str">
        <f>IF($C$4="Inhibitors","",IF(ISBLANK($A20),"",VLOOKUP($C$4,'[1]Inhibitors for various CYPs'!$C$2:$P$28,14,FALSE)))</f>
        <v/>
      </c>
      <c r="W20" s="451" t="str">
        <f t="shared" si="6"/>
        <v/>
      </c>
      <c r="X20" s="452" t="str">
        <f t="shared" si="2"/>
        <v/>
      </c>
      <c r="Y20" s="453" t="e">
        <f t="shared" si="3"/>
        <v>#VALUE!</v>
      </c>
      <c r="Z20" s="452" t="str">
        <f t="shared" si="4"/>
        <v/>
      </c>
      <c r="AA20" s="454" t="str">
        <f>IF(OR(ISBLANK($A20),$V20="",$V20&lt;=0),"", (B20/C20)*(1/(E20*D20/(1+(V20*W20/('[1]Enzymes-fm,CYP from rCYPs'!$Z$10*(U20+W20))))+(1-(E20*D20)))))</f>
        <v/>
      </c>
      <c r="AB20" s="454" t="e">
        <f>IF(ISBLANK($V20),"", (1/($E20*$D20/(1+($V20*$W20/('[1]Enzymes-fm,CYP from rCYPs'!$Z$10*($U20+$W20))))+(1-($E20*$D20)))))</f>
        <v>#VALUE!</v>
      </c>
      <c r="AC20" s="453" t="e">
        <f>IF(ISBLANK($V20),"",1/(C20+((1-C20)/(1+(V20*M20/('[1]Enzymes-fm,CYP from rCYPs'!$AC$10*(U20+M20)))))))</f>
        <v>#VALUE!</v>
      </c>
      <c r="AD20" s="454" t="str">
        <f t="shared" si="5"/>
        <v/>
      </c>
      <c r="AE20" s="411"/>
    </row>
    <row r="21" spans="1:31" ht="21" customHeight="1" x14ac:dyDescent="0.25">
      <c r="A21" s="436"/>
      <c r="B21" s="437" t="str">
        <f>IF($B$4="Substrates","",IF(ISBLANK($A21),"",VLOOKUP($B$4,'[1]Substrates for various CYPs'!$C$4:$G$36,2,FALSE)))</f>
        <v/>
      </c>
      <c r="C21" s="437" t="str">
        <f>IF($B$4="Substrates","",IF(ISBLANK($A21),"",VLOOKUP($B$4,'[1]Substrates for various CYPs'!$C$4:$G$36,3,FALSE)))</f>
        <v/>
      </c>
      <c r="D21" s="437" t="str">
        <f>IF($B$4="Substrates","",IF(ISBLANK($A21),"",VLOOKUP($B$4,'[1]Substrates for various CYPs'!$C$4:$G$36,4,FALSE)))</f>
        <v/>
      </c>
      <c r="E21" s="437" t="str">
        <f>IF($B$4="Substrates","",IF(ISBLANK($A21),"",VLOOKUP($B$4,'[1]Substrates for various CYPs'!$C$4:$G$36,5,FALSE)))</f>
        <v/>
      </c>
      <c r="F21" s="438" t="str">
        <f>IF($C$4="Inhibitors","",IF(ISBLANK($A21),"",VLOOKUP($C$4,'[1]Inhibitors for various CYPs'!$C$2:$O$28,2,FALSE)))</f>
        <v/>
      </c>
      <c r="G21" s="439" t="str">
        <f>IF($C$4="Inhibitors","",IF(ISBLANK($A21),"",VLOOKUP($C$4,'[1]Inhibitors for various CYPs'!$C$2:$O$28,3,FALSE)))</f>
        <v/>
      </c>
      <c r="H21" s="439" t="str">
        <f>IF($C$4="Inhibitors","",IF(ISBLANK($A21),"",VLOOKUP($C$4,'[1]Inhibitors for various CYPs'!$C$2:$O$28,4,FALSE)))</f>
        <v/>
      </c>
      <c r="I21" s="439" t="str">
        <f>IF($C$4="Inhibitors","",IF(ISBLANK($A21),"",VLOOKUP($C$4,'[1]Inhibitors for various CYPs'!$C$2:$O$28,5,FALSE)))</f>
        <v/>
      </c>
      <c r="J21" s="440" t="str">
        <f>IF($C$4="Inhibitors","",IF(ISBLANK($A21),"",VLOOKUP($C$4,'[1]Inhibitors for various CYPs'!$C$2:$O$28,12,FALSE)))</f>
        <v/>
      </c>
      <c r="K21" s="441" t="str">
        <f>IF($C$4="Inhibitors","",IF(ISBLANK($A21),"",VLOOKUP($C$4,'[1]Inhibitors for various CYPs'!$C$2:$O$28,6,FALSE)))</f>
        <v/>
      </c>
      <c r="L21" s="442" t="str">
        <f>IF($C$4="Inhibitors","",IF(ISBLANK($A21),"",VLOOKUP($C$4,'[1]Inhibitors for various CYPs'!$C$2:$O$28,7,FALSE)))</f>
        <v/>
      </c>
      <c r="M21" s="443" t="str">
        <f>IF(ISBLANK($A21),"",(G21*K21*L21/('[1]Enzymes-fm,CYP from rCYPs'!$U$6*F21))*1000000)</f>
        <v/>
      </c>
      <c r="N21" s="442" t="str">
        <f>IF($C$4="Inhibitors","",IF(ISBLANK($A21),"",VLOOKUP($C$4,'[1]Inhibitors for various CYPs'!$C$2:$O$28,8,FALSE)))</f>
        <v/>
      </c>
      <c r="O21" s="444" t="str">
        <f>IF($C$4="Inhibitors","",IF(ISBLANK($A21),"",VLOOKUP($C$4,'[1]Inhibitors for various CYPs'!$C$2:$O$28,9,FALSE)))</f>
        <v/>
      </c>
      <c r="P21" s="443" t="str">
        <f>IF(ISBLANK($A21),"",(G21*K21*L21*N21/('[1]Enzymes-fm,CYP from rCYPs'!$U$7*F21))*1000000 + T21)</f>
        <v/>
      </c>
      <c r="Q21" s="445" t="str">
        <f>IF($C$4="Inhibitors","",IF(ISBLANK($A21),"",VLOOKUP($C$4,'[1]Inhibitors for various CYPs'!$C$2:$O$28,10,FALSE)))</f>
        <v/>
      </c>
      <c r="R21" s="446" t="str">
        <f>IF($C$4="Inhibitors","",IF(ISBLANK($A21),"",VLOOKUP($C$4,'[1]Inhibitors for various CYPs'!$C$2:$O$28,11,FALSE)))</f>
        <v/>
      </c>
      <c r="S21" s="447" t="str">
        <f t="shared" si="0"/>
        <v/>
      </c>
      <c r="T21" s="448" t="str">
        <f t="shared" si="1"/>
        <v/>
      </c>
      <c r="U21" s="449" t="str">
        <f>IF($C$4="Inhibitors","",IF(ISBLANK($A21),"",VLOOKUP($C$4,'[1]Inhibitors for various CYPs'!$C$2:$P$28,13,FALSE)))</f>
        <v/>
      </c>
      <c r="V21" s="450" t="str">
        <f>IF($C$4="Inhibitors","",IF(ISBLANK($A21),"",VLOOKUP($C$4,'[1]Inhibitors for various CYPs'!$C$2:$P$28,14,FALSE)))</f>
        <v/>
      </c>
      <c r="W21" s="451" t="str">
        <f t="shared" si="6"/>
        <v/>
      </c>
      <c r="X21" s="452" t="str">
        <f t="shared" si="2"/>
        <v/>
      </c>
      <c r="Y21" s="453" t="e">
        <f t="shared" si="3"/>
        <v>#VALUE!</v>
      </c>
      <c r="Z21" s="452" t="str">
        <f t="shared" si="4"/>
        <v/>
      </c>
      <c r="AA21" s="454" t="str">
        <f>IF(OR(ISBLANK($A21),$V21="",$V21&lt;=0),"", (B21/C21)*(1/(E21*D21/(1+(V21*W21/('[1]Enzymes-fm,CYP from rCYPs'!$Z$10*(U21+W21))))+(1-(E21*D21)))))</f>
        <v/>
      </c>
      <c r="AB21" s="454" t="e">
        <f>IF(ISBLANK($V21),"", (1/($E21*$D21/(1+($V21*$W21/('[1]Enzymes-fm,CYP from rCYPs'!$Z$10*($U21+$W21))))+(1-($E21*$D21)))))</f>
        <v>#VALUE!</v>
      </c>
      <c r="AC21" s="453" t="e">
        <f>IF(ISBLANK($V21),"",1/(C21+((1-C21)/(1+(V21*M21/('[1]Enzymes-fm,CYP from rCYPs'!$AC$10*(U21+M21)))))))</f>
        <v>#VALUE!</v>
      </c>
      <c r="AD21" s="454" t="str">
        <f t="shared" si="5"/>
        <v/>
      </c>
      <c r="AE21" s="411"/>
    </row>
    <row r="22" spans="1:31" ht="21" customHeight="1" x14ac:dyDescent="0.25">
      <c r="A22" s="436"/>
      <c r="B22" s="492" t="str">
        <f>IF($B$4="Substrates","",IF(ISBLANK($A22),"",VLOOKUP($B$4,'[1]Substrates for various CYPs'!$C$4:$G$36,2,FALSE)))</f>
        <v/>
      </c>
      <c r="C22" s="493" t="str">
        <f>IF($B$4="Substrates","",IF(ISBLANK($A22),"",VLOOKUP($B$4,'[1]Substrates for various CYPs'!$C$4:$G$36,3,FALSE)))</f>
        <v/>
      </c>
      <c r="D22" s="493" t="str">
        <f>IF($B$4="Substrates","",IF(ISBLANK($A22),"",VLOOKUP($B$4,'[1]Substrates for various CYPs'!$C$4:$G$36,4,FALSE)))</f>
        <v/>
      </c>
      <c r="E22" s="493" t="str">
        <f>IF($B$4="Substrates","",IF(ISBLANK($A22),"",VLOOKUP($B$4,'[1]Substrates for various CYPs'!$C$4:$G$36,5,FALSE)))</f>
        <v/>
      </c>
      <c r="F22" s="438" t="str">
        <f>IF($C$4="Inhibitors","",IF(ISBLANK($A22),"",VLOOKUP($C$4,'[1]Inhibitors for various CYPs'!$C$2:$O$28,2,FALSE)))</f>
        <v/>
      </c>
      <c r="G22" s="494" t="str">
        <f>IF($C$4="Inhibitors","",IF(ISBLANK($A22),"",VLOOKUP($C$4,'[1]Inhibitors for various CYPs'!$C$2:$O$28,3,FALSE)))</f>
        <v/>
      </c>
      <c r="H22" s="494" t="str">
        <f>IF($C$4="Inhibitors","",IF(ISBLANK($A22),"",VLOOKUP($C$4,'[1]Inhibitors for various CYPs'!$C$2:$O$28,4,FALSE)))</f>
        <v/>
      </c>
      <c r="I22" s="494" t="str">
        <f>IF($C$4="Inhibitors","",IF(ISBLANK($A22),"",VLOOKUP($C$4,'[1]Inhibitors for various CYPs'!$C$2:$O$28,5,FALSE)))</f>
        <v/>
      </c>
      <c r="J22" s="495" t="str">
        <f>IF($C$4="Inhibitors","",IF(ISBLANK($A22),"",VLOOKUP($C$4,'[1]Inhibitors for various CYPs'!$C$2:$O$28,12,FALSE)))</f>
        <v/>
      </c>
      <c r="K22" s="441" t="str">
        <f>IF($C$4="Inhibitors","",IF(ISBLANK($A22),"",VLOOKUP($C$4,'[1]Inhibitors for various CYPs'!$C$2:$O$28,6,FALSE)))</f>
        <v/>
      </c>
      <c r="L22" s="496" t="str">
        <f>IF($C$4="Inhibitors","",IF(ISBLANK($A22),"",VLOOKUP($C$4,'[1]Inhibitors for various CYPs'!$C$2:$O$28,7,FALSE)))</f>
        <v/>
      </c>
      <c r="M22" s="443" t="str">
        <f>IF(ISBLANK($A22),"",(G22*K22*L22/('[1]Enzymes-fm,CYP from rCYPs'!$U$6*F22))*1000000)</f>
        <v/>
      </c>
      <c r="N22" s="496" t="str">
        <f>IF($C$4="Inhibitors","",IF(ISBLANK($A22),"",VLOOKUP($C$4,'[1]Inhibitors for various CYPs'!$C$2:$O$28,8,FALSE)))</f>
        <v/>
      </c>
      <c r="O22" s="444" t="str">
        <f>IF($C$4="Inhibitors","",IF(ISBLANK($A22),"",VLOOKUP($C$4,'[1]Inhibitors for various CYPs'!$C$2:$O$28,9,FALSE)))</f>
        <v/>
      </c>
      <c r="P22" s="443" t="str">
        <f>IF(ISBLANK($A22),"",(G22*K22*L22*N22/('[1]Enzymes-fm,CYP from rCYPs'!$U$7*F22))*1000000 + T22)</f>
        <v/>
      </c>
      <c r="Q22" s="497" t="str">
        <f>IF($C$4="Inhibitors","",IF(ISBLANK($A22),"",VLOOKUP($C$4,'[1]Inhibitors for various CYPs'!$C$2:$O$28,10,FALSE)))</f>
        <v/>
      </c>
      <c r="R22" s="446" t="str">
        <f>IF($C$4="Inhibitors","",IF(ISBLANK($A22),"",VLOOKUP($C$4,'[1]Inhibitors for various CYPs'!$C$2:$O$28,11,FALSE)))</f>
        <v/>
      </c>
      <c r="S22" s="447" t="str">
        <f t="shared" si="0"/>
        <v/>
      </c>
      <c r="T22" s="448" t="str">
        <f t="shared" si="1"/>
        <v/>
      </c>
      <c r="U22" s="449" t="str">
        <f>IF($C$4="Inhibitors","",IF(ISBLANK($A22),"",VLOOKUP($C$4,'[1]Inhibitors for various CYPs'!$C$2:$P$28,13,FALSE)))</f>
        <v/>
      </c>
      <c r="V22" s="450" t="str">
        <f>IF($C$4="Inhibitors","",IF(ISBLANK($A22),"",VLOOKUP($C$4,'[1]Inhibitors for various CYPs'!$C$2:$P$28,14,FALSE)))</f>
        <v/>
      </c>
      <c r="W22" s="451" t="str">
        <f t="shared" si="6"/>
        <v/>
      </c>
      <c r="X22" s="452" t="str">
        <f t="shared" si="2"/>
        <v/>
      </c>
      <c r="Y22" s="453" t="e">
        <f t="shared" si="3"/>
        <v>#VALUE!</v>
      </c>
      <c r="Z22" s="452" t="str">
        <f t="shared" si="4"/>
        <v/>
      </c>
      <c r="AA22" s="454" t="str">
        <f>IF(OR(ISBLANK($A22),$V22="",$V22&lt;=0),"", (B22/C22)*(1/(E22*D22/(1+(V22*W22/('[1]Enzymes-fm,CYP from rCYPs'!$Z$10*(U22+W22))))+(1-(E22*D22)))))</f>
        <v/>
      </c>
      <c r="AB22" s="454" t="e">
        <f>IF(ISBLANK($V22),"", (1/($E22*$D22/(1+($V22*$W22/('[1]Enzymes-fm,CYP from rCYPs'!$Z$10*($U22+$W22))))+(1-($E22*$D22)))))</f>
        <v>#VALUE!</v>
      </c>
      <c r="AC22" s="453" t="e">
        <f>IF(ISBLANK($V22),"",1/(C22+((1-C22)/(1+(V22*M22/('[1]Enzymes-fm,CYP from rCYPs'!$AC$10*(U22+M22)))))))</f>
        <v>#VALUE!</v>
      </c>
      <c r="AD22" s="454" t="str">
        <f t="shared" si="5"/>
        <v/>
      </c>
      <c r="AE22" s="411"/>
    </row>
    <row r="23" spans="1:31" ht="21" customHeight="1" thickBot="1" x14ac:dyDescent="0.3">
      <c r="A23" s="455"/>
      <c r="B23" s="498" t="str">
        <f>IF($B$4="Substrates","",IF(ISBLANK($A23),"",VLOOKUP($B$4,'[1]Substrates for various CYPs'!$C$4:$G$36,2,FALSE)))</f>
        <v/>
      </c>
      <c r="C23" s="499" t="str">
        <f>IF($B$4="Substrates","",IF(ISBLANK($A23),"",VLOOKUP($B$4,'[1]Substrates for various CYPs'!$C$4:$G$36,3,FALSE)))</f>
        <v/>
      </c>
      <c r="D23" s="499" t="str">
        <f>IF($B$4="Substrates","",IF(ISBLANK($A23),"",VLOOKUP($B$4,'[1]Substrates for various CYPs'!$C$4:$G$36,4,FALSE)))</f>
        <v/>
      </c>
      <c r="E23" s="499" t="str">
        <f>IF($B$4="Substrates","",IF(ISBLANK($A23),"",VLOOKUP($B$4,'[1]Substrates for various CYPs'!$C$4:$G$36,5,FALSE)))</f>
        <v/>
      </c>
      <c r="F23" s="500" t="str">
        <f>IF($C$4="Inhibitors","",IF(ISBLANK($A23),"",VLOOKUP($C$4,'[1]Inhibitors for various CYPs'!$C$2:$O$28,2,FALSE)))</f>
        <v/>
      </c>
      <c r="G23" s="501" t="str">
        <f>IF($C$4="Inhibitors","",IF(ISBLANK($A23),"",VLOOKUP($C$4,'[1]Inhibitors for various CYPs'!$C$2:$O$28,3,FALSE)))</f>
        <v/>
      </c>
      <c r="H23" s="501" t="str">
        <f>IF($C$4="Inhibitors","",IF(ISBLANK($A23),"",VLOOKUP($C$4,'[1]Inhibitors for various CYPs'!$C$2:$O$28,4,FALSE)))</f>
        <v/>
      </c>
      <c r="I23" s="501" t="str">
        <f>IF($C$4="Inhibitors","",IF(ISBLANK($A23),"",VLOOKUP($C$4,'[1]Inhibitors for various CYPs'!$C$2:$O$28,5,FALSE)))</f>
        <v/>
      </c>
      <c r="J23" s="502" t="str">
        <f>IF($C$4="Inhibitors","",IF(ISBLANK($A23),"",VLOOKUP($C$4,'[1]Inhibitors for various CYPs'!$C$2:$O$28,12,FALSE)))</f>
        <v/>
      </c>
      <c r="K23" s="503" t="str">
        <f>IF($C$4="Inhibitors","",IF(ISBLANK($A23),"",VLOOKUP($C$4,'[1]Inhibitors for various CYPs'!$C$2:$O$28,6,FALSE)))</f>
        <v/>
      </c>
      <c r="L23" s="504" t="str">
        <f>IF($C$4="Inhibitors","",IF(ISBLANK($A23),"",VLOOKUP($C$4,'[1]Inhibitors for various CYPs'!$C$2:$O$28,7,FALSE)))</f>
        <v/>
      </c>
      <c r="M23" s="505" t="str">
        <f>IF(ISBLANK($A23),"",(G23*K23*L23/('[1]Enzymes-fm,CYP from rCYPs'!$U$6*F23))*1000000)</f>
        <v/>
      </c>
      <c r="N23" s="504" t="str">
        <f>IF($C$4="Inhibitors","",IF(ISBLANK($A23),"",VLOOKUP($C$4,'[1]Inhibitors for various CYPs'!$C$2:$O$28,8,FALSE)))</f>
        <v/>
      </c>
      <c r="O23" s="506" t="str">
        <f>IF($C$4="Inhibitors","",IF(ISBLANK($A23),"",VLOOKUP($C$4,'[1]Inhibitors for various CYPs'!$C$2:$O$28,9,FALSE)))</f>
        <v/>
      </c>
      <c r="P23" s="505" t="str">
        <f>IF(ISBLANK($A23),"",(G23*K23*L23*N23/('[1]Enzymes-fm,CYP from rCYPs'!$U$7*F23))*1000000 + T23)</f>
        <v/>
      </c>
      <c r="Q23" s="507" t="str">
        <f>IF($C$4="Inhibitors","",IF(ISBLANK($A23),"",VLOOKUP($C$4,'[1]Inhibitors for various CYPs'!$C$2:$O$28,10,FALSE)))</f>
        <v/>
      </c>
      <c r="R23" s="508" t="str">
        <f>IF($C$4="Inhibitors","",IF(ISBLANK($A23),"",VLOOKUP($C$4,'[1]Inhibitors for various CYPs'!$C$2:$O$28,11,FALSE)))</f>
        <v/>
      </c>
      <c r="S23" s="456"/>
      <c r="T23" s="456"/>
      <c r="U23" s="457" t="str">
        <f>IF($C$4="Inhibitors","",IF(ISBLANK($A23),"",VLOOKUP($C$4,'[1]Inhibitors for various CYPs'!$C$2:$O$28,12,FALSE)))</f>
        <v/>
      </c>
      <c r="V23" s="458" t="str">
        <f>IF($C$4="Inhibitors","",IF(ISBLANK($A23),"",VLOOKUP($C$4,'[1]Inhibitors for various CYPs'!$C$2:$O$28,12,FALSE)))</f>
        <v/>
      </c>
      <c r="W23" s="459"/>
      <c r="X23" s="460"/>
      <c r="Y23" s="461"/>
      <c r="Z23" s="462"/>
      <c r="AA23" s="460"/>
      <c r="AB23" s="461"/>
      <c r="AC23" s="462"/>
      <c r="AD23" s="460"/>
      <c r="AE23" s="411"/>
    </row>
    <row r="24" spans="1:31" ht="13" thickTop="1" x14ac:dyDescent="0.25">
      <c r="A24" s="410"/>
      <c r="B24" s="410"/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0"/>
      <c r="X24" s="410"/>
      <c r="Y24" s="410"/>
      <c r="Z24" s="410"/>
      <c r="AA24" s="410"/>
      <c r="AB24" s="410"/>
      <c r="AC24" s="410"/>
      <c r="AD24" s="410"/>
      <c r="AE24" s="468"/>
    </row>
    <row r="25" spans="1:31" x14ac:dyDescent="0.25">
      <c r="A25" s="410"/>
      <c r="B25" s="410"/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/>
      <c r="Q25" s="410"/>
      <c r="R25" s="410"/>
      <c r="S25" s="410"/>
      <c r="T25" s="410"/>
      <c r="U25" s="410"/>
      <c r="V25" s="410"/>
      <c r="W25" s="410"/>
      <c r="X25" s="410"/>
      <c r="Y25" s="410"/>
      <c r="Z25" s="410"/>
      <c r="AA25" s="410"/>
      <c r="AB25" s="410"/>
      <c r="AC25" s="410"/>
      <c r="AD25" s="410"/>
      <c r="AE25" s="471"/>
    </row>
    <row r="26" spans="1:31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4"/>
      <c r="K26" s="464"/>
      <c r="L26" s="464"/>
      <c r="M26" s="464"/>
      <c r="N26" s="464"/>
      <c r="O26" s="464"/>
      <c r="P26" s="464"/>
      <c r="Q26" s="464"/>
      <c r="R26" s="464"/>
      <c r="S26" s="464"/>
      <c r="T26" s="464"/>
      <c r="U26" s="465"/>
      <c r="V26" s="465"/>
      <c r="W26" s="465"/>
      <c r="X26" s="465"/>
      <c r="Y26" s="465"/>
      <c r="Z26" s="465"/>
      <c r="AA26" s="465"/>
      <c r="AB26" s="465"/>
      <c r="AC26" s="466"/>
      <c r="AD26" s="467"/>
      <c r="AE26" s="471"/>
    </row>
    <row r="27" spans="1:31" x14ac:dyDescent="0.25">
      <c r="A27" s="469"/>
      <c r="B27" s="470"/>
      <c r="C27" s="470"/>
      <c r="D27" s="435"/>
      <c r="E27" s="417"/>
      <c r="F27" s="417"/>
      <c r="G27" s="417"/>
      <c r="H27" s="417"/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/>
      <c r="T27" s="417"/>
      <c r="U27" s="471"/>
      <c r="V27" s="471"/>
      <c r="W27" s="471"/>
      <c r="X27" s="471"/>
      <c r="Y27" s="471"/>
      <c r="Z27" s="471"/>
      <c r="AA27" s="471"/>
      <c r="AB27" s="471"/>
      <c r="AC27" s="471"/>
      <c r="AD27" s="471"/>
      <c r="AE27" s="471"/>
    </row>
    <row r="28" spans="1:31" x14ac:dyDescent="0.25">
      <c r="A28" s="472" t="s">
        <v>262</v>
      </c>
      <c r="B28" s="514" t="s">
        <v>265</v>
      </c>
      <c r="C28" s="515"/>
      <c r="D28" s="516"/>
      <c r="E28" s="417"/>
      <c r="F28" s="417"/>
      <c r="G28" s="417"/>
      <c r="H28" s="417"/>
      <c r="I28" s="417"/>
      <c r="J28" s="417"/>
      <c r="K28" s="417"/>
      <c r="L28" s="417"/>
      <c r="M28" s="417"/>
      <c r="N28" s="417"/>
      <c r="O28" s="417"/>
      <c r="P28" s="417"/>
      <c r="Q28" s="417"/>
      <c r="R28" s="417"/>
      <c r="S28" s="417"/>
      <c r="T28" s="417"/>
      <c r="U28" s="471"/>
      <c r="V28" s="471"/>
      <c r="W28" s="471"/>
      <c r="X28" s="471"/>
      <c r="Y28" s="471"/>
      <c r="Z28" s="471"/>
      <c r="AA28" s="471"/>
      <c r="AB28" s="471"/>
      <c r="AC28" s="471"/>
      <c r="AD28" s="471"/>
      <c r="AE28" s="471"/>
    </row>
    <row r="29" spans="1:31" x14ac:dyDescent="0.25">
      <c r="A29" s="473" t="str">
        <f>CONCATENATE('[1]Inhibitors for various CYPs'!A2," (",'[1]Inhibitors for various CYPs'!B2,")")</f>
        <v>Ketoconazole (CYP2C8)</v>
      </c>
      <c r="B29" s="473" t="str">
        <f>CONCATENATE('[1]Substrates for various CYPs'!A4," (",'[1]Substrates for various CYPs'!B4,")")</f>
        <v>Alprazolam (CYP3A4)</v>
      </c>
      <c r="C29" s="470"/>
      <c r="D29" s="435"/>
      <c r="E29" s="417"/>
      <c r="F29" s="417"/>
      <c r="G29" s="417"/>
      <c r="H29" s="417"/>
      <c r="I29" s="417"/>
      <c r="J29" s="417"/>
      <c r="K29" s="417"/>
      <c r="L29" s="417"/>
      <c r="M29" s="417"/>
      <c r="N29" s="417"/>
      <c r="O29" s="417"/>
      <c r="P29" s="417"/>
      <c r="Q29" s="417"/>
      <c r="R29" s="417"/>
      <c r="S29" s="417"/>
      <c r="T29" s="417"/>
      <c r="U29" s="471"/>
      <c r="V29" s="471"/>
      <c r="W29" s="471"/>
      <c r="X29" s="471"/>
      <c r="Y29" s="471"/>
      <c r="Z29" s="471"/>
      <c r="AA29" s="471"/>
      <c r="AB29" s="471"/>
      <c r="AC29" s="471"/>
      <c r="AD29" s="471"/>
      <c r="AE29" s="471"/>
    </row>
    <row r="30" spans="1:31" x14ac:dyDescent="0.25">
      <c r="A30" s="473" t="str">
        <f>CONCATENATE('[1]Inhibitors for various CYPs'!A3," (",'[1]Inhibitors for various CYPs'!B3,")")</f>
        <v>Ketoconazole (CYP3A4)</v>
      </c>
      <c r="B30" s="473" t="str">
        <f>CONCATENATE('[1]Substrates for various CYPs'!A5," (",'[1]Substrates for various CYPs'!B5,")")</f>
        <v>Buspirone (CYP3A4)</v>
      </c>
      <c r="C30" s="470"/>
      <c r="D30" s="435"/>
      <c r="E30" s="417"/>
      <c r="F30" s="417"/>
      <c r="G30" s="417"/>
      <c r="H30" s="417"/>
      <c r="I30" s="417"/>
      <c r="J30" s="417"/>
      <c r="K30" s="417"/>
      <c r="L30" s="417"/>
      <c r="M30" s="417"/>
      <c r="N30" s="417"/>
      <c r="O30" s="417"/>
      <c r="P30" s="417"/>
      <c r="Q30" s="417"/>
      <c r="R30" s="417"/>
      <c r="S30" s="417"/>
      <c r="T30" s="417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1"/>
    </row>
    <row r="31" spans="1:31" x14ac:dyDescent="0.25">
      <c r="A31" s="473" t="str">
        <f>CONCATENATE('[1]Inhibitors for various CYPs'!A4," (",'[1]Inhibitors for various CYPs'!B4,")")</f>
        <v>Ketoconazole (CYP3A5)</v>
      </c>
      <c r="B31" s="473" t="str">
        <f>CONCATENATE('[1]Substrates for various CYPs'!A6," (",'[1]Substrates for various CYPs'!B6,")")</f>
        <v>Cyclosporine (CYP3A4)</v>
      </c>
      <c r="C31" s="470"/>
      <c r="D31" s="435"/>
      <c r="E31" s="417"/>
      <c r="F31" s="417"/>
      <c r="G31" s="417"/>
      <c r="H31" s="417"/>
      <c r="I31" s="417"/>
      <c r="J31" s="417"/>
      <c r="K31" s="417"/>
      <c r="L31" s="417"/>
      <c r="M31" s="417"/>
      <c r="N31" s="417"/>
      <c r="O31" s="417"/>
      <c r="P31" s="417"/>
      <c r="Q31" s="417"/>
      <c r="R31" s="417"/>
      <c r="S31" s="417"/>
      <c r="T31" s="417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</row>
    <row r="32" spans="1:31" x14ac:dyDescent="0.25">
      <c r="A32" s="473" t="str">
        <f>CONCATENATE('[1]Inhibitors for various CYPs'!A5," (",'[1]Inhibitors for various CYPs'!B5,")")</f>
        <v>Itraconazole (CYP3A4)</v>
      </c>
      <c r="B32" s="473" t="str">
        <f>CONCATENATE('[1]Substrates for various CYPs'!A7," (",'[1]Substrates for various CYPs'!B7,")")</f>
        <v>Felodipine (CYP3A4)</v>
      </c>
      <c r="C32" s="470"/>
      <c r="D32" s="435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71"/>
      <c r="V32" s="471"/>
      <c r="W32" s="471"/>
      <c r="X32" s="471"/>
      <c r="Y32" s="471"/>
      <c r="Z32" s="471"/>
      <c r="AA32" s="471"/>
      <c r="AB32" s="471"/>
      <c r="AC32" s="471"/>
      <c r="AD32" s="471"/>
      <c r="AE32" s="471"/>
    </row>
    <row r="33" spans="1:31" x14ac:dyDescent="0.25">
      <c r="A33" s="473" t="str">
        <f>CONCATENATE('[1]Inhibitors for various CYPs'!A6," (",'[1]Inhibitors for various CYPs'!B6,")")</f>
        <v>Fluoxetin (CYP2D6)</v>
      </c>
      <c r="B33" s="473" t="str">
        <f>CONCATENATE('[1]Substrates for various CYPs'!A8," (",'[1]Substrates for various CYPs'!B8,")")</f>
        <v>Midazolam (CYP3A4)</v>
      </c>
      <c r="C33" s="470"/>
      <c r="D33" s="435"/>
      <c r="E33" s="417"/>
      <c r="F33" s="417"/>
      <c r="G33" s="417"/>
      <c r="H33" s="417"/>
      <c r="I33" s="417"/>
      <c r="J33" s="417"/>
      <c r="K33" s="417"/>
      <c r="L33" s="417"/>
      <c r="M33" s="417"/>
      <c r="N33" s="417"/>
      <c r="O33" s="417"/>
      <c r="P33" s="417"/>
      <c r="Q33" s="417"/>
      <c r="R33" s="417"/>
      <c r="S33" s="417"/>
      <c r="T33" s="417"/>
      <c r="U33" s="471"/>
      <c r="V33" s="471"/>
      <c r="W33" s="471"/>
      <c r="X33" s="471"/>
      <c r="Y33" s="471"/>
      <c r="Z33" s="471"/>
      <c r="AA33" s="471"/>
      <c r="AB33" s="471"/>
      <c r="AC33" s="471"/>
      <c r="AD33" s="471"/>
      <c r="AE33" s="471"/>
    </row>
    <row r="34" spans="1:31" x14ac:dyDescent="0.25">
      <c r="A34" s="473" t="str">
        <f>CONCATENATE('[1]Inhibitors for various CYPs'!A7," (",'[1]Inhibitors for various CYPs'!B7,")")</f>
        <v>Fluoxetin (CYP2C9)</v>
      </c>
      <c r="B34" s="473" t="str">
        <f>CONCATENATE('[1]Substrates for various CYPs'!A9," (",'[1]Substrates for various CYPs'!B9,")")</f>
        <v>Nifedipine (CYP3A4)</v>
      </c>
      <c r="C34" s="470"/>
      <c r="D34" s="435"/>
      <c r="E34" s="417"/>
      <c r="F34" s="417"/>
      <c r="G34" s="417"/>
      <c r="H34" s="417"/>
      <c r="I34" s="417"/>
      <c r="J34" s="417"/>
      <c r="K34" s="417"/>
      <c r="L34" s="417"/>
      <c r="M34" s="417"/>
      <c r="N34" s="417"/>
      <c r="O34" s="417"/>
      <c r="P34" s="417"/>
      <c r="Q34" s="417"/>
      <c r="R34" s="417"/>
      <c r="S34" s="417"/>
      <c r="T34" s="417"/>
      <c r="U34" s="471"/>
      <c r="V34" s="471"/>
      <c r="W34" s="471"/>
      <c r="X34" s="471"/>
      <c r="Y34" s="471"/>
      <c r="Z34" s="471"/>
      <c r="AA34" s="471"/>
      <c r="AB34" s="471"/>
      <c r="AC34" s="471"/>
      <c r="AD34" s="471"/>
      <c r="AE34" s="471"/>
    </row>
    <row r="35" spans="1:31" x14ac:dyDescent="0.25">
      <c r="A35" s="473" t="str">
        <f>CONCATENATE('[1]Inhibitors for various CYPs'!A8," (",'[1]Inhibitors for various CYPs'!B8,")")</f>
        <v>Fluoxetin (CYP3A4)</v>
      </c>
      <c r="B35" s="473" t="str">
        <f>CONCATENATE('[1]Substrates for various CYPs'!A10," (",'[1]Substrates for various CYPs'!B10,")")</f>
        <v>Quinidine (CYP3A4)</v>
      </c>
      <c r="C35" s="470"/>
      <c r="D35" s="435"/>
      <c r="E35" s="417"/>
      <c r="F35" s="417"/>
      <c r="G35" s="417"/>
      <c r="H35" s="417"/>
      <c r="I35" s="417"/>
      <c r="J35" s="417"/>
      <c r="K35" s="417"/>
      <c r="L35" s="417"/>
      <c r="M35" s="417"/>
      <c r="N35" s="417"/>
      <c r="O35" s="417"/>
      <c r="P35" s="417"/>
      <c r="Q35" s="417"/>
      <c r="R35" s="417"/>
      <c r="S35" s="417"/>
      <c r="T35" s="417"/>
      <c r="U35" s="471"/>
      <c r="V35" s="471"/>
      <c r="W35" s="471"/>
      <c r="X35" s="471"/>
      <c r="Y35" s="471"/>
      <c r="Z35" s="471"/>
      <c r="AA35" s="471"/>
      <c r="AB35" s="471"/>
      <c r="AC35" s="471"/>
      <c r="AD35" s="471"/>
      <c r="AE35" s="471"/>
    </row>
    <row r="36" spans="1:31" x14ac:dyDescent="0.25">
      <c r="A36" s="473" t="str">
        <f>CONCATENATE('[1]Inhibitors for various CYPs'!A9," (",'[1]Inhibitors for various CYPs'!B9,")")</f>
        <v>Fluoxetin (CYP3A5)</v>
      </c>
      <c r="B36" s="473" t="str">
        <f>CONCATENATE('[1]Substrates for various CYPs'!A11," (",'[1]Substrates for various CYPs'!B11,")")</f>
        <v>Sildenafil (CYP3A4)</v>
      </c>
      <c r="C36" s="470"/>
      <c r="D36" s="435"/>
      <c r="E36" s="417"/>
      <c r="F36" s="417"/>
      <c r="G36" s="417"/>
      <c r="H36" s="417"/>
      <c r="I36" s="417"/>
      <c r="J36" s="417"/>
      <c r="K36" s="417"/>
      <c r="L36" s="417"/>
      <c r="M36" s="417"/>
      <c r="N36" s="417"/>
      <c r="O36" s="417"/>
      <c r="P36" s="417"/>
      <c r="Q36" s="417"/>
      <c r="R36" s="417"/>
      <c r="S36" s="417"/>
      <c r="T36" s="417"/>
      <c r="U36" s="471"/>
      <c r="V36" s="471"/>
      <c r="W36" s="471"/>
      <c r="X36" s="471"/>
      <c r="Y36" s="471"/>
      <c r="Z36" s="471"/>
      <c r="AA36" s="471"/>
      <c r="AB36" s="471"/>
      <c r="AC36" s="471"/>
      <c r="AD36" s="471"/>
      <c r="AE36" s="471"/>
    </row>
    <row r="37" spans="1:31" x14ac:dyDescent="0.25">
      <c r="A37" s="473" t="str">
        <f>CONCATENATE('[1]Inhibitors for various CYPs'!A10," (",'[1]Inhibitors for various CYPs'!B10,")")</f>
        <v>Quinidine (CYP2D6)</v>
      </c>
      <c r="B37" s="473" t="str">
        <f>CONCATENATE('[1]Substrates for various CYPs'!A12," (",'[1]Substrates for various CYPs'!B12,")")</f>
        <v>Simvastatin (CYP3A4)</v>
      </c>
      <c r="C37" s="470"/>
      <c r="D37" s="435"/>
      <c r="E37" s="417"/>
      <c r="F37" s="417"/>
      <c r="G37" s="417"/>
      <c r="H37" s="417"/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/>
      <c r="T37" s="417"/>
      <c r="U37" s="471"/>
      <c r="V37" s="471"/>
      <c r="W37" s="471"/>
      <c r="X37" s="471"/>
      <c r="Y37" s="471"/>
      <c r="Z37" s="471"/>
      <c r="AA37" s="471"/>
      <c r="AB37" s="471"/>
      <c r="AC37" s="471"/>
      <c r="AD37" s="471"/>
    </row>
    <row r="38" spans="1:31" x14ac:dyDescent="0.25">
      <c r="A38" s="473" t="str">
        <f>CONCATENATE('[1]Inhibitors for various CYPs'!A11," (",'[1]Inhibitors for various CYPs'!B11,")")</f>
        <v>Quinidine (CYP3A4)</v>
      </c>
      <c r="B38" s="473" t="str">
        <f>CONCATENATE('[1]Substrates for various CYPs'!A13," (",'[1]Substrates for various CYPs'!B13,")")</f>
        <v>Trazodone (CYP3A4)</v>
      </c>
      <c r="C38" s="470"/>
      <c r="D38" s="435"/>
      <c r="E38" s="417"/>
      <c r="F38" s="417"/>
      <c r="G38" s="417"/>
      <c r="H38" s="417"/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/>
      <c r="T38" s="417"/>
      <c r="U38" s="471"/>
      <c r="V38" s="471"/>
      <c r="W38" s="471"/>
      <c r="X38" s="471"/>
      <c r="Y38" s="471"/>
      <c r="Z38" s="471"/>
      <c r="AA38" s="471"/>
      <c r="AB38" s="471"/>
      <c r="AC38" s="471"/>
      <c r="AD38" s="471"/>
    </row>
    <row r="39" spans="1:31" x14ac:dyDescent="0.25">
      <c r="A39" s="473" t="str">
        <f>CONCATENATE('[1]Inhibitors for various CYPs'!A12," (",'[1]Inhibitors for various CYPs'!B12,")")</f>
        <v>Fluvoxamine (CYP1A2)</v>
      </c>
      <c r="B39" s="473" t="str">
        <f>CONCATENATE('[1]Substrates for various CYPs'!A14," (",'[1]Substrates for various CYPs'!B14,")")</f>
        <v>Triazolam (CYP3A4)</v>
      </c>
      <c r="C39" s="470"/>
      <c r="D39" s="435"/>
      <c r="E39" s="417"/>
      <c r="F39" s="417"/>
      <c r="G39" s="417"/>
      <c r="H39" s="417"/>
      <c r="I39" s="417"/>
      <c r="J39" s="417"/>
      <c r="K39" s="417"/>
      <c r="L39" s="417"/>
      <c r="M39" s="417"/>
      <c r="N39" s="417"/>
      <c r="O39" s="417"/>
      <c r="P39" s="417"/>
      <c r="Q39" s="417"/>
      <c r="R39" s="417"/>
      <c r="S39" s="417"/>
      <c r="T39" s="417"/>
      <c r="U39" s="471"/>
      <c r="V39" s="471"/>
      <c r="W39" s="471"/>
      <c r="X39" s="471"/>
      <c r="Y39" s="471"/>
      <c r="Z39" s="471"/>
      <c r="AA39" s="471"/>
      <c r="AB39" s="471"/>
      <c r="AC39" s="474"/>
    </row>
    <row r="40" spans="1:31" ht="15" customHeight="1" x14ac:dyDescent="0.25">
      <c r="A40" s="473" t="str">
        <f>CONCATENATE('[1]Inhibitors for various CYPs'!A13," (",'[1]Inhibitors for various CYPs'!B13,")")</f>
        <v>Fluvoxamine (CYP2C9)</v>
      </c>
      <c r="B40" s="473" t="str">
        <f>CONCATENATE('[1]Substrates for various CYPs'!A15," (",'[1]Substrates for various CYPs'!B15,")")</f>
        <v>Zolpidem (CYP3A4)</v>
      </c>
      <c r="C40" s="470"/>
      <c r="D40" s="435"/>
      <c r="E40" s="417"/>
      <c r="F40" s="417"/>
      <c r="G40" s="417"/>
      <c r="H40" s="417"/>
      <c r="I40" s="417"/>
      <c r="J40" s="417"/>
      <c r="K40" s="417"/>
      <c r="L40" s="417"/>
      <c r="M40" s="417"/>
      <c r="N40" s="417"/>
      <c r="O40" s="417"/>
      <c r="P40" s="417"/>
      <c r="Q40" s="417"/>
      <c r="R40" s="417"/>
      <c r="S40" s="417"/>
      <c r="T40" s="417"/>
      <c r="U40" s="471"/>
      <c r="V40" s="471"/>
      <c r="W40" s="471"/>
      <c r="X40" s="471"/>
      <c r="Y40" s="471"/>
      <c r="Z40" s="471"/>
      <c r="AA40" s="471"/>
      <c r="AB40" s="471"/>
      <c r="AC40" s="474"/>
    </row>
    <row r="41" spans="1:31" x14ac:dyDescent="0.25">
      <c r="A41" s="473" t="str">
        <f>CONCATENATE('[1]Inhibitors for various CYPs'!A14," (",'[1]Inhibitors for various CYPs'!B14,")")</f>
        <v>Fluvoxamine (CYP2C19)</v>
      </c>
      <c r="B41" s="473" t="str">
        <f>CONCATENATE('[1]Substrates for various CYPs'!A16," (",'[1]Substrates for various CYPs'!B16,")")</f>
        <v>Atomoxetin (CYP2D6)</v>
      </c>
      <c r="C41" s="470"/>
      <c r="D41" s="435"/>
      <c r="E41" s="417"/>
      <c r="F41" s="417"/>
      <c r="G41" s="417"/>
      <c r="H41" s="417"/>
      <c r="I41" s="417"/>
      <c r="J41" s="417"/>
      <c r="K41" s="417"/>
      <c r="L41" s="417"/>
      <c r="M41" s="417"/>
      <c r="N41" s="417"/>
      <c r="O41" s="417"/>
      <c r="P41" s="417"/>
      <c r="Q41" s="417"/>
      <c r="R41" s="417"/>
      <c r="S41" s="417"/>
      <c r="T41" s="417"/>
      <c r="U41" s="471"/>
      <c r="V41" s="471"/>
      <c r="W41" s="471"/>
      <c r="X41" s="471"/>
      <c r="Y41" s="471"/>
      <c r="Z41" s="471"/>
      <c r="AA41" s="471"/>
      <c r="AB41" s="471"/>
      <c r="AC41" s="474"/>
    </row>
    <row r="42" spans="1:31" x14ac:dyDescent="0.25">
      <c r="A42" s="473" t="str">
        <f>CONCATENATE('[1]Inhibitors for various CYPs'!A15," (",'[1]Inhibitors for various CYPs'!B15,")")</f>
        <v>Fluvoxamine (CYP2D6)</v>
      </c>
      <c r="B42" s="473" t="str">
        <f>CONCATENATE('[1]Substrates for various CYPs'!A17," (",'[1]Substrates for various CYPs'!B17,")")</f>
        <v>Desipramine (CYP2D6)</v>
      </c>
      <c r="C42" s="470"/>
      <c r="D42" s="435"/>
      <c r="E42" s="417"/>
      <c r="F42" s="417"/>
      <c r="G42" s="417"/>
      <c r="H42" s="417"/>
      <c r="I42" s="417"/>
      <c r="J42" s="417"/>
      <c r="K42" s="417"/>
      <c r="L42" s="417"/>
      <c r="M42" s="417"/>
      <c r="N42" s="417"/>
      <c r="O42" s="417"/>
      <c r="P42" s="417"/>
      <c r="Q42" s="417"/>
      <c r="R42" s="417"/>
      <c r="S42" s="417"/>
      <c r="T42" s="417"/>
      <c r="U42" s="471"/>
      <c r="V42" s="471"/>
      <c r="W42" s="471"/>
      <c r="X42" s="471"/>
      <c r="Y42" s="471"/>
      <c r="Z42" s="471"/>
      <c r="AA42" s="471"/>
      <c r="AB42" s="471"/>
      <c r="AC42" s="474"/>
    </row>
    <row r="43" spans="1:31" x14ac:dyDescent="0.25">
      <c r="A43" s="473" t="str">
        <f>CONCATENATE('[1]Inhibitors for various CYPs'!A16," (",'[1]Inhibitors for various CYPs'!B16,")")</f>
        <v>Fluvoxamine (CYP3A5)</v>
      </c>
      <c r="B43" s="473" t="str">
        <f>CONCATENATE('[1]Substrates for various CYPs'!A18," (",'[1]Substrates for various CYPs'!B18,")")</f>
        <v>R-Metoprolol (CYP2D6)</v>
      </c>
      <c r="C43" s="470"/>
      <c r="D43" s="435"/>
      <c r="E43" s="417"/>
      <c r="F43" s="417"/>
      <c r="G43" s="417"/>
      <c r="H43" s="417"/>
      <c r="I43" s="417"/>
      <c r="J43" s="417"/>
      <c r="K43" s="417"/>
      <c r="L43" s="417"/>
      <c r="M43" s="417"/>
      <c r="N43" s="417"/>
      <c r="O43" s="417"/>
      <c r="P43" s="417"/>
      <c r="Q43" s="417"/>
      <c r="R43" s="417"/>
      <c r="S43" s="417"/>
      <c r="T43" s="417"/>
      <c r="U43" s="471"/>
      <c r="V43" s="471"/>
      <c r="W43" s="471"/>
      <c r="X43" s="471"/>
      <c r="Y43" s="471"/>
      <c r="Z43" s="471"/>
      <c r="AA43" s="471"/>
      <c r="AB43" s="471"/>
      <c r="AC43" s="474"/>
    </row>
    <row r="44" spans="1:31" ht="13.5" customHeight="1" x14ac:dyDescent="0.25">
      <c r="A44" s="473" t="str">
        <f>CONCATENATE('[1]Inhibitors for various CYPs'!A17," (",'[1]Inhibitors for various CYPs'!B17,")")</f>
        <v>Sulfaphenazole (CYP2C9)</v>
      </c>
      <c r="B44" s="473" t="str">
        <f>CONCATENATE('[1]Substrates for various CYPs'!A19," (",'[1]Substrates for various CYPs'!B19,")")</f>
        <v>S-Metoprolol (CYP2D6)</v>
      </c>
      <c r="C44" s="470"/>
      <c r="D44" s="435"/>
      <c r="E44" s="417"/>
      <c r="F44" s="417"/>
      <c r="G44" s="417"/>
      <c r="H44" s="417"/>
      <c r="I44" s="417"/>
      <c r="J44" s="417"/>
      <c r="K44" s="417"/>
      <c r="L44" s="417"/>
      <c r="M44" s="417"/>
      <c r="N44" s="417"/>
      <c r="O44" s="417"/>
      <c r="P44" s="417"/>
      <c r="Q44" s="417"/>
      <c r="R44" s="417"/>
      <c r="S44" s="417"/>
      <c r="T44" s="417"/>
      <c r="U44" s="471"/>
      <c r="V44" s="471"/>
      <c r="W44" s="471"/>
      <c r="X44" s="471"/>
      <c r="Y44" s="471"/>
      <c r="Z44" s="471"/>
      <c r="AA44" s="471"/>
      <c r="AB44" s="471"/>
      <c r="AC44" s="474"/>
    </row>
    <row r="45" spans="1:31" ht="13.5" customHeight="1" x14ac:dyDescent="0.25">
      <c r="A45" s="473" t="str">
        <f>CONCATENATE('[1]Inhibitors for various CYPs'!A18," (",'[1]Inhibitors for various CYPs'!B18,")")</f>
        <v>Sulfaphenazole (CYP2C19)</v>
      </c>
      <c r="B45" s="473" t="str">
        <f>CONCATENATE('[1]Substrates for various CYPs'!A20," (",'[1]Substrates for various CYPs'!B20,")")</f>
        <v>Paroxetine (CYP2D6)</v>
      </c>
      <c r="C45" s="470"/>
      <c r="D45" s="435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71"/>
      <c r="V45" s="471"/>
      <c r="W45" s="471"/>
      <c r="X45" s="471"/>
      <c r="Y45" s="471"/>
      <c r="Z45" s="471"/>
      <c r="AA45" s="471"/>
      <c r="AB45" s="471"/>
      <c r="AC45" s="474"/>
    </row>
    <row r="46" spans="1:31" ht="13.5" customHeight="1" x14ac:dyDescent="0.25">
      <c r="A46" s="473" t="str">
        <f>CONCATENATE('[1]Inhibitors for various CYPs'!A19," (",'[1]Inhibitors for various CYPs'!B19,")")</f>
        <v>Paroxetine (CYP2D6)</v>
      </c>
      <c r="B46" s="473" t="str">
        <f>CONCATENATE('[1]Substrates for various CYPs'!A21," (",'[1]Substrates for various CYPs'!B21,")")</f>
        <v>Perphenazine (CYP2D6)</v>
      </c>
      <c r="C46" s="470"/>
      <c r="D46" s="435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71"/>
      <c r="V46" s="471"/>
      <c r="W46" s="471"/>
      <c r="X46" s="471"/>
      <c r="Y46" s="471"/>
      <c r="Z46" s="471"/>
      <c r="AA46" s="471"/>
      <c r="AB46" s="471"/>
      <c r="AC46" s="474"/>
    </row>
    <row r="47" spans="1:31" ht="13.5" customHeight="1" x14ac:dyDescent="0.25">
      <c r="A47" s="473" t="str">
        <f>CONCATENATE("TDI-",'[1]Inhibitors for various CYPs'!A21," (",'[1]Inhibitors for various CYPs'!B21,")")</f>
        <v>TDI-Diltiazem (CYP3A4)</v>
      </c>
      <c r="B47" s="473" t="str">
        <f>CONCATENATE('[1]Substrates for various CYPs'!A22," (",'[1]Substrates for various CYPs'!B22,")")</f>
        <v>Risperidone (CYP2D6)</v>
      </c>
      <c r="C47" s="470"/>
      <c r="D47" s="435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71"/>
      <c r="V47" s="471"/>
      <c r="W47" s="471"/>
      <c r="X47" s="471"/>
      <c r="Y47" s="471"/>
      <c r="Z47" s="471"/>
      <c r="AA47" s="471"/>
      <c r="AB47" s="471"/>
      <c r="AC47" s="474"/>
    </row>
    <row r="48" spans="1:31" ht="13.5" customHeight="1" x14ac:dyDescent="0.25">
      <c r="A48" s="473" t="str">
        <f>CONCATENATE("TDI-",'[1]Inhibitors for various CYPs'!A22," (",'[1]Inhibitors for various CYPs'!B22,")")</f>
        <v>TDI-Diltiazem (CYP3A5)</v>
      </c>
      <c r="B48" s="473" t="str">
        <f>CONCATENATE('[1]Substrates for various CYPs'!A23," (",'[1]Substrates for various CYPs'!B23,")")</f>
        <v>bufuralol (CYP2D6)</v>
      </c>
      <c r="C48" s="470"/>
      <c r="D48" s="435"/>
      <c r="E48" s="417"/>
      <c r="F48" s="417"/>
      <c r="G48" s="417"/>
      <c r="H48" s="417"/>
      <c r="I48" s="417"/>
      <c r="J48" s="417"/>
      <c r="K48" s="417"/>
      <c r="L48" s="417"/>
      <c r="M48" s="417"/>
      <c r="N48" s="417"/>
      <c r="O48" s="417"/>
      <c r="P48" s="417"/>
      <c r="Q48" s="417"/>
      <c r="R48" s="471"/>
      <c r="S48" s="471"/>
      <c r="T48" s="471"/>
      <c r="U48" s="471"/>
      <c r="V48" s="471"/>
      <c r="W48" s="471"/>
      <c r="X48" s="471"/>
      <c r="Y48" s="471"/>
      <c r="Z48" s="474"/>
    </row>
    <row r="49" spans="1:30" ht="13.5" customHeight="1" x14ac:dyDescent="0.25">
      <c r="A49" s="473" t="str">
        <f>CONCATENATE("TDI-",'[1]Inhibitors for various CYPs'!A23," (",'[1]Inhibitors for various CYPs'!B23,")")</f>
        <v>TDI-Erythromycin (CYP3A4)</v>
      </c>
      <c r="B49" s="473" t="str">
        <f>CONCATENATE('[1]Substrates for various CYPs'!A24," (",'[1]Substrates for various CYPs'!B24,")")</f>
        <v>Dextromethorphan (CYP2D6)</v>
      </c>
      <c r="C49" s="470"/>
      <c r="D49" s="435"/>
      <c r="E49" s="417"/>
      <c r="F49" s="417"/>
      <c r="G49" s="417"/>
      <c r="H49" s="417"/>
      <c r="I49" s="417"/>
      <c r="J49" s="417"/>
      <c r="K49" s="417"/>
      <c r="L49" s="417"/>
      <c r="M49" s="417"/>
      <c r="N49" s="417"/>
      <c r="O49" s="417"/>
      <c r="P49" s="417"/>
      <c r="Q49" s="417"/>
      <c r="R49" s="417"/>
      <c r="S49" s="417"/>
      <c r="T49" s="417"/>
      <c r="U49" s="471"/>
      <c r="V49" s="471"/>
      <c r="W49" s="471"/>
      <c r="X49" s="471"/>
      <c r="Y49" s="471"/>
      <c r="Z49" s="471"/>
      <c r="AA49" s="471"/>
      <c r="AB49" s="471"/>
      <c r="AC49" s="474"/>
    </row>
    <row r="50" spans="1:30" ht="13.5" customHeight="1" x14ac:dyDescent="0.25">
      <c r="A50" s="473" t="str">
        <f>CONCATENATE("TDI-",'[1]Inhibitors for various CYPs'!A24," (",'[1]Inhibitors for various CYPs'!B24,")")</f>
        <v>TDI-Erythromycin (CYP3A5)</v>
      </c>
      <c r="B50" s="473" t="str">
        <f>CONCATENATE('[1]Substrates for various CYPs'!A25," (",'[1]Substrates for various CYPs'!B25,")")</f>
        <v>Imipramine (CYP2D6)</v>
      </c>
      <c r="C50" s="470"/>
      <c r="D50" s="435"/>
      <c r="E50" s="417"/>
      <c r="F50" s="417"/>
      <c r="G50" s="417"/>
      <c r="H50" s="417"/>
      <c r="I50" s="417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71"/>
      <c r="V50" s="471"/>
      <c r="W50" s="471"/>
      <c r="X50" s="471"/>
      <c r="Y50" s="471"/>
      <c r="Z50" s="471"/>
      <c r="AA50" s="471"/>
      <c r="AB50" s="471"/>
      <c r="AC50" s="474"/>
    </row>
    <row r="51" spans="1:30" ht="13.5" customHeight="1" x14ac:dyDescent="0.25">
      <c r="A51" s="473" t="str">
        <f>CONCATENATE("TDI-",'[1]Inhibitors for various CYPs'!A25," (",'[1]Inhibitors for various CYPs'!B25,")")</f>
        <v>TDI-Ritonavir (CYP3A4)</v>
      </c>
      <c r="B51" s="473" t="str">
        <f>CONCATENATE('[1]Substrates for various CYPs'!A26," (",'[1]Substrates for various CYPs'!B26,")")</f>
        <v>Caffeine (CYP1A2)</v>
      </c>
      <c r="C51" s="470"/>
      <c r="D51" s="435"/>
      <c r="E51" s="417"/>
      <c r="F51" s="417"/>
      <c r="G51" s="417"/>
      <c r="H51" s="417"/>
      <c r="I51" s="417"/>
      <c r="J51" s="417"/>
      <c r="K51" s="417"/>
      <c r="L51" s="417"/>
      <c r="M51" s="417"/>
      <c r="N51" s="417"/>
      <c r="O51" s="417"/>
      <c r="P51" s="417"/>
      <c r="Q51" s="417"/>
      <c r="R51" s="417"/>
      <c r="S51" s="417"/>
      <c r="T51" s="417"/>
      <c r="U51" s="471"/>
      <c r="V51" s="471"/>
      <c r="W51" s="471"/>
      <c r="X51" s="471"/>
      <c r="Y51" s="471"/>
      <c r="Z51" s="471"/>
      <c r="AA51" s="471"/>
      <c r="AB51" s="471"/>
      <c r="AC51" s="474"/>
    </row>
    <row r="52" spans="1:30" ht="13.5" customHeight="1" x14ac:dyDescent="0.25">
      <c r="A52" s="473" t="str">
        <f>CONCATENATE("TDI-",'[1]Inhibitors for various CYPs'!A26," (",'[1]Inhibitors for various CYPs'!B26,")")</f>
        <v>TDI-Verapamil (CYP3A4)</v>
      </c>
      <c r="B52" s="473" t="str">
        <f>CONCATENATE('[1]Substrates for various CYPs'!A27," (",'[1]Substrates for various CYPs'!B27,")")</f>
        <v>Clozapine (CYP1A2)</v>
      </c>
      <c r="C52" s="470"/>
      <c r="D52" s="435"/>
      <c r="E52" s="417"/>
      <c r="F52" s="417"/>
      <c r="G52" s="417"/>
      <c r="H52" s="417"/>
      <c r="I52" s="417"/>
      <c r="J52" s="417"/>
      <c r="K52" s="417"/>
      <c r="L52" s="417"/>
      <c r="M52" s="417"/>
      <c r="N52" s="417"/>
      <c r="O52" s="417"/>
      <c r="P52" s="417"/>
      <c r="Q52" s="417"/>
      <c r="R52" s="417"/>
      <c r="S52" s="417"/>
      <c r="T52" s="417"/>
      <c r="U52" s="471"/>
      <c r="V52" s="471"/>
      <c r="W52" s="471"/>
      <c r="X52" s="471"/>
      <c r="Y52" s="471"/>
      <c r="Z52" s="471"/>
      <c r="AA52" s="471"/>
      <c r="AB52" s="471"/>
      <c r="AC52" s="474"/>
    </row>
    <row r="53" spans="1:30" ht="13.5" customHeight="1" x14ac:dyDescent="0.25">
      <c r="A53" s="473" t="str">
        <f>CONCATENATE("TDI-",'[1]Inhibitors for various CYPs'!A27," (",'[1]Inhibitors for various CYPs'!B27,")")</f>
        <v>TDI-Fluoxetin (CYP3A4)</v>
      </c>
      <c r="B53" s="473" t="str">
        <f>CONCATENATE('[1]Substrates for various CYPs'!A28," (",'[1]Substrates for various CYPs'!B28,")")</f>
        <v>Phenacetin (CYP1A2)</v>
      </c>
      <c r="C53" s="470"/>
      <c r="D53" s="435"/>
      <c r="E53" s="417"/>
      <c r="F53" s="417"/>
      <c r="G53" s="417"/>
      <c r="H53" s="417"/>
      <c r="I53" s="417"/>
      <c r="J53" s="417"/>
      <c r="K53" s="417"/>
      <c r="L53" s="417"/>
      <c r="M53" s="417"/>
      <c r="N53" s="417"/>
      <c r="O53" s="417"/>
      <c r="P53" s="417"/>
      <c r="Q53" s="417"/>
      <c r="R53" s="417"/>
      <c r="S53" s="417"/>
      <c r="T53" s="417"/>
      <c r="U53" s="471"/>
      <c r="V53" s="471"/>
      <c r="W53" s="471"/>
      <c r="X53" s="471"/>
      <c r="Y53" s="471"/>
      <c r="Z53" s="471"/>
      <c r="AA53" s="471"/>
      <c r="AB53" s="471"/>
      <c r="AC53" s="474"/>
    </row>
    <row r="54" spans="1:30" ht="13.5" customHeight="1" x14ac:dyDescent="0.25">
      <c r="A54" s="473" t="str">
        <f>CONCATENATE("TDI-",'[1]Inhibitors for various CYPs'!A28," (",'[1]Inhibitors for various CYPs'!B28,")")</f>
        <v>TDI-Paroxetine (CYP2D6)</v>
      </c>
      <c r="B54" s="473" t="str">
        <f>CONCATENATE('[1]Substrates for various CYPs'!A29," (",'[1]Substrates for various CYPs'!B29,")")</f>
        <v>Theophylline (CYP1A2)</v>
      </c>
      <c r="C54" s="470"/>
      <c r="D54" s="435"/>
      <c r="E54" s="417"/>
      <c r="F54" s="417"/>
      <c r="G54" s="417"/>
      <c r="H54" s="417"/>
      <c r="I54" s="417"/>
      <c r="J54" s="417"/>
      <c r="K54" s="417"/>
      <c r="L54" s="417"/>
      <c r="M54" s="417"/>
      <c r="N54" s="417"/>
      <c r="O54" s="417"/>
      <c r="P54" s="417"/>
      <c r="Q54" s="417"/>
      <c r="R54" s="417"/>
      <c r="S54" s="417"/>
      <c r="T54" s="417"/>
      <c r="U54" s="471"/>
      <c r="V54" s="471"/>
      <c r="W54" s="471"/>
      <c r="X54" s="471"/>
      <c r="Y54" s="471"/>
      <c r="Z54" s="471"/>
      <c r="AA54" s="471"/>
      <c r="AB54" s="471"/>
      <c r="AC54" s="474"/>
    </row>
    <row r="55" spans="1:30" ht="13.5" customHeight="1" x14ac:dyDescent="0.25">
      <c r="A55" s="414"/>
      <c r="B55" s="473" t="str">
        <f>CONCATENATE('[1]Substrates for various CYPs'!A30," (",'[1]Substrates for various CYPs'!B30,")")</f>
        <v>Bupropion (CYP2B6)</v>
      </c>
      <c r="C55" s="470"/>
      <c r="D55" s="435"/>
      <c r="E55" s="417"/>
      <c r="F55" s="417"/>
      <c r="G55" s="417"/>
      <c r="H55" s="417"/>
      <c r="I55" s="417"/>
      <c r="J55" s="417"/>
      <c r="K55" s="417"/>
      <c r="L55" s="417"/>
      <c r="M55" s="417"/>
      <c r="N55" s="417"/>
      <c r="O55" s="417"/>
      <c r="P55" s="417"/>
      <c r="Q55" s="417"/>
      <c r="R55" s="417"/>
      <c r="S55" s="417"/>
      <c r="T55" s="417"/>
      <c r="U55" s="471"/>
      <c r="V55" s="471"/>
      <c r="W55" s="471"/>
      <c r="X55" s="471"/>
      <c r="Y55" s="471"/>
      <c r="Z55" s="471"/>
      <c r="AA55" s="471"/>
      <c r="AB55" s="471"/>
      <c r="AC55" s="474"/>
    </row>
    <row r="56" spans="1:30" ht="13.5" customHeight="1" x14ac:dyDescent="0.25">
      <c r="A56" s="414"/>
      <c r="B56" s="473" t="str">
        <f>CONCATENATE('[1]Substrates for various CYPs'!A31," (",'[1]Substrates for various CYPs'!B31,")")</f>
        <v>Chlorzoxazone (CYP2E1)</v>
      </c>
      <c r="C56" s="470"/>
      <c r="D56" s="435"/>
      <c r="E56" s="417"/>
      <c r="F56" s="417"/>
      <c r="G56" s="417"/>
      <c r="H56" s="417"/>
      <c r="I56" s="417"/>
      <c r="J56" s="417"/>
      <c r="K56" s="417"/>
      <c r="L56" s="417"/>
      <c r="M56" s="417"/>
      <c r="N56" s="417"/>
      <c r="O56" s="417"/>
      <c r="P56" s="417"/>
      <c r="Q56" s="417"/>
      <c r="R56" s="417"/>
      <c r="S56" s="417"/>
      <c r="T56" s="417"/>
      <c r="U56" s="471"/>
      <c r="V56" s="471"/>
      <c r="W56" s="471"/>
      <c r="X56" s="471"/>
      <c r="Y56" s="471"/>
      <c r="Z56" s="471"/>
      <c r="AA56" s="471"/>
      <c r="AB56" s="471"/>
      <c r="AC56" s="474"/>
    </row>
    <row r="57" spans="1:30" x14ac:dyDescent="0.25">
      <c r="A57" s="414"/>
      <c r="B57" s="473" t="str">
        <f>CONCATENATE('[1]Substrates for various CYPs'!A32," (",'[1]Substrates for various CYPs'!B32,")")</f>
        <v>Omeprazole (CYP2C19)</v>
      </c>
      <c r="C57" s="470"/>
      <c r="D57" s="435"/>
      <c r="E57" s="417"/>
      <c r="F57" s="417"/>
      <c r="G57" s="417"/>
      <c r="H57" s="417"/>
      <c r="I57" s="417"/>
      <c r="J57" s="417"/>
      <c r="K57" s="417"/>
      <c r="L57" s="417"/>
      <c r="M57" s="417"/>
      <c r="N57" s="417"/>
      <c r="O57" s="417"/>
      <c r="P57" s="417"/>
      <c r="Q57" s="417"/>
      <c r="R57" s="417"/>
      <c r="S57" s="417"/>
      <c r="T57" s="417"/>
      <c r="U57" s="471"/>
      <c r="V57" s="471"/>
      <c r="W57" s="471"/>
      <c r="X57" s="471"/>
      <c r="Y57" s="471"/>
      <c r="Z57" s="471"/>
      <c r="AA57" s="471"/>
      <c r="AB57" s="471"/>
      <c r="AC57" s="474"/>
    </row>
    <row r="58" spans="1:30" x14ac:dyDescent="0.25">
      <c r="A58" s="475" t="s">
        <v>412</v>
      </c>
      <c r="B58" s="473" t="str">
        <f>CONCATENATE('[1]Substrates for various CYPs'!A33," (",'[1]Substrates for various CYPs'!B33,")")</f>
        <v>S-mephenytoin (CYP2C19)</v>
      </c>
      <c r="C58" s="470"/>
      <c r="D58" s="435"/>
      <c r="E58" s="417"/>
      <c r="F58" s="417"/>
      <c r="G58" s="417"/>
      <c r="H58" s="417"/>
      <c r="I58" s="417"/>
      <c r="J58" s="417"/>
      <c r="K58" s="417"/>
      <c r="L58" s="417"/>
      <c r="M58" s="417"/>
      <c r="N58" s="417"/>
      <c r="O58" s="417"/>
      <c r="P58" s="417"/>
      <c r="Q58" s="417"/>
      <c r="R58" s="417"/>
      <c r="S58" s="417"/>
      <c r="T58" s="417"/>
      <c r="U58" s="471"/>
      <c r="V58" s="471"/>
      <c r="W58" s="471"/>
      <c r="X58" s="471"/>
      <c r="Y58" s="471"/>
      <c r="Z58" s="471"/>
      <c r="AA58" s="471"/>
      <c r="AB58" s="471"/>
      <c r="AC58" s="474"/>
    </row>
    <row r="59" spans="1:30" x14ac:dyDescent="0.25">
      <c r="A59" s="476" t="s">
        <v>324</v>
      </c>
      <c r="B59" s="473" t="str">
        <f>CONCATENATE('[1]Substrates for various CYPs'!A34," (",'[1]Substrates for various CYPs'!B34,")")</f>
        <v>Diclofenac (CYP2C9)</v>
      </c>
      <c r="C59" s="470"/>
      <c r="D59" s="435"/>
      <c r="E59" s="417"/>
      <c r="F59" s="417"/>
      <c r="G59" s="417"/>
      <c r="H59" s="417"/>
      <c r="I59" s="417"/>
      <c r="J59" s="417"/>
      <c r="K59" s="417"/>
      <c r="L59" s="417"/>
      <c r="M59" s="417"/>
      <c r="N59" s="417"/>
      <c r="O59" s="417"/>
      <c r="P59" s="417"/>
      <c r="Q59" s="417"/>
      <c r="R59" s="417"/>
      <c r="S59" s="417"/>
      <c r="T59" s="417"/>
      <c r="U59" s="471"/>
      <c r="V59" s="471"/>
      <c r="W59" s="471"/>
      <c r="X59" s="471"/>
      <c r="Y59" s="471"/>
      <c r="Z59" s="471"/>
      <c r="AA59" s="471"/>
      <c r="AB59" s="471"/>
      <c r="AC59" s="474"/>
    </row>
    <row r="60" spans="1:30" x14ac:dyDescent="0.25">
      <c r="A60" s="477" t="s">
        <v>65</v>
      </c>
      <c r="B60" s="473" t="str">
        <f>CONCATENATE('[1]Substrates for various CYPs'!A35," (",'[1]Substrates for various CYPs'!B35,")")</f>
        <v>Warfarin (CYP2C9)</v>
      </c>
      <c r="C60" s="470"/>
      <c r="D60" s="435"/>
      <c r="E60" s="417"/>
      <c r="F60" s="417"/>
      <c r="G60" s="417"/>
      <c r="H60" s="417"/>
      <c r="I60" s="417"/>
      <c r="J60" s="417"/>
      <c r="K60" s="417"/>
      <c r="L60" s="417"/>
      <c r="M60" s="417"/>
      <c r="N60" s="417"/>
      <c r="O60" s="417"/>
      <c r="P60" s="417"/>
      <c r="Q60" s="417"/>
      <c r="R60" s="417"/>
      <c r="S60" s="417"/>
      <c r="T60" s="417"/>
      <c r="U60" s="471"/>
      <c r="V60" s="471"/>
      <c r="W60" s="471"/>
      <c r="X60" s="471"/>
      <c r="Y60" s="471"/>
      <c r="Z60" s="471"/>
      <c r="AA60" s="471"/>
      <c r="AB60" s="471"/>
      <c r="AC60" s="474"/>
    </row>
    <row r="61" spans="1:30" x14ac:dyDescent="0.25">
      <c r="A61" s="477" t="s">
        <v>258</v>
      </c>
      <c r="B61" s="473" t="str">
        <f>CONCATENATE('[1]Substrates for various CYPs'!A36," (",'[1]Substrates for various CYPs'!B36,")")</f>
        <v>Tolbutamide (CYP2C9)</v>
      </c>
      <c r="C61" s="470"/>
      <c r="D61" s="435"/>
      <c r="E61" s="417"/>
      <c r="F61" s="417"/>
      <c r="G61" s="417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71"/>
      <c r="V61" s="471"/>
      <c r="W61" s="471"/>
      <c r="X61" s="471"/>
      <c r="Y61" s="471"/>
      <c r="Z61" s="471"/>
      <c r="AA61" s="471"/>
      <c r="AB61" s="471"/>
      <c r="AC61" s="474"/>
    </row>
    <row r="62" spans="1:30" x14ac:dyDescent="0.25">
      <c r="A62" s="478"/>
      <c r="B62" s="479"/>
      <c r="C62" s="464"/>
      <c r="D62" s="480"/>
      <c r="E62" s="417"/>
      <c r="F62" s="417"/>
      <c r="G62" s="417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71"/>
      <c r="V62" s="471"/>
      <c r="W62" s="471"/>
      <c r="X62" s="471"/>
      <c r="Y62" s="471"/>
      <c r="Z62" s="471"/>
      <c r="AA62" s="471"/>
      <c r="AB62" s="471"/>
      <c r="AC62" s="474"/>
    </row>
    <row r="63" spans="1:30" x14ac:dyDescent="0.25">
      <c r="A63" s="469"/>
      <c r="B63" s="470"/>
      <c r="C63" s="470"/>
      <c r="D63" s="435"/>
      <c r="E63" s="417"/>
      <c r="F63" s="417"/>
      <c r="G63" s="417"/>
      <c r="H63" s="417"/>
      <c r="I63" s="417"/>
      <c r="J63" s="417"/>
      <c r="K63" s="417"/>
      <c r="L63" s="417"/>
      <c r="M63" s="417"/>
      <c r="N63" s="417"/>
      <c r="O63" s="417"/>
      <c r="P63" s="417"/>
      <c r="Q63" s="417"/>
      <c r="R63" s="417"/>
      <c r="S63" s="417"/>
      <c r="T63" s="417"/>
      <c r="U63" s="471"/>
      <c r="V63" s="471"/>
      <c r="W63" s="471"/>
      <c r="X63" s="471"/>
      <c r="Y63" s="471"/>
      <c r="Z63" s="471"/>
      <c r="AA63" s="471"/>
      <c r="AB63" s="471"/>
      <c r="AC63" s="474"/>
    </row>
    <row r="64" spans="1:30" x14ac:dyDescent="0.25">
      <c r="A64" s="481" t="s">
        <v>326</v>
      </c>
      <c r="B64" s="481" t="s">
        <v>260</v>
      </c>
      <c r="C64" s="470"/>
      <c r="D64" s="435"/>
      <c r="E64" s="417"/>
      <c r="F64" s="417"/>
      <c r="G64" s="417"/>
      <c r="H64" s="417"/>
      <c r="I64" s="417"/>
      <c r="J64" s="417"/>
      <c r="K64" s="417"/>
      <c r="L64" s="417"/>
      <c r="M64" s="417"/>
      <c r="N64" s="417"/>
      <c r="O64" s="417"/>
      <c r="P64" s="417"/>
      <c r="Q64" s="417"/>
      <c r="R64" s="417"/>
      <c r="S64" s="417"/>
      <c r="T64" s="417"/>
      <c r="U64" s="471"/>
      <c r="V64" s="471"/>
      <c r="W64" s="417"/>
      <c r="X64" s="471"/>
      <c r="Y64" s="471"/>
      <c r="Z64" s="471"/>
      <c r="AA64" s="471"/>
      <c r="AB64" s="471"/>
      <c r="AC64" s="471"/>
      <c r="AD64" s="474"/>
    </row>
    <row r="65" spans="1:30" x14ac:dyDescent="0.25">
      <c r="A65" s="482" t="s">
        <v>46</v>
      </c>
      <c r="B65" s="482" t="s">
        <v>81</v>
      </c>
      <c r="C65" s="470"/>
      <c r="D65" s="435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71"/>
      <c r="V65" s="471"/>
      <c r="W65" s="417"/>
      <c r="X65" s="471"/>
      <c r="Y65" s="471"/>
      <c r="Z65" s="471"/>
      <c r="AA65" s="471"/>
      <c r="AB65" s="471"/>
      <c r="AC65" s="471"/>
      <c r="AD65" s="474"/>
    </row>
    <row r="66" spans="1:30" x14ac:dyDescent="0.25">
      <c r="A66" s="483" t="s">
        <v>44</v>
      </c>
      <c r="B66" s="483" t="s">
        <v>82</v>
      </c>
      <c r="C66" s="470"/>
      <c r="D66" s="435"/>
      <c r="E66" s="417"/>
      <c r="F66" s="417"/>
      <c r="G66" s="417"/>
      <c r="H66" s="417"/>
      <c r="I66" s="417"/>
      <c r="J66" s="417"/>
      <c r="K66" s="417"/>
      <c r="L66" s="417"/>
      <c r="M66" s="417"/>
      <c r="N66" s="417"/>
      <c r="O66" s="417"/>
      <c r="P66" s="417"/>
      <c r="Q66" s="417"/>
      <c r="R66" s="417"/>
      <c r="S66" s="417"/>
      <c r="T66" s="417"/>
      <c r="U66" s="471"/>
      <c r="V66" s="471"/>
      <c r="W66" s="417"/>
      <c r="X66" s="471"/>
      <c r="Y66" s="471"/>
      <c r="Z66" s="471"/>
      <c r="AA66" s="471"/>
      <c r="AB66" s="471"/>
      <c r="AC66" s="471"/>
      <c r="AD66" s="474"/>
    </row>
    <row r="67" spans="1:30" x14ac:dyDescent="0.25">
      <c r="A67" s="483" t="s">
        <v>239</v>
      </c>
      <c r="B67" s="483" t="s">
        <v>83</v>
      </c>
      <c r="C67" s="470"/>
      <c r="D67" s="435"/>
      <c r="E67" s="417"/>
      <c r="F67" s="417"/>
      <c r="G67" s="417"/>
      <c r="H67" s="417"/>
      <c r="I67" s="417"/>
      <c r="J67" s="417"/>
      <c r="K67" s="417"/>
      <c r="L67" s="417"/>
      <c r="M67" s="417"/>
      <c r="N67" s="417"/>
      <c r="O67" s="417"/>
      <c r="P67" s="417"/>
      <c r="Q67" s="417"/>
      <c r="R67" s="417"/>
      <c r="S67" s="417"/>
      <c r="T67" s="417"/>
      <c r="U67" s="471"/>
      <c r="V67" s="471"/>
      <c r="W67" s="417"/>
      <c r="X67" s="471"/>
      <c r="Y67" s="471"/>
      <c r="Z67" s="471"/>
      <c r="AA67" s="471"/>
      <c r="AB67" s="471"/>
      <c r="AC67" s="471"/>
      <c r="AD67" s="474"/>
    </row>
    <row r="68" spans="1:30" x14ac:dyDescent="0.25">
      <c r="A68" s="483"/>
      <c r="B68" s="483" t="s">
        <v>84</v>
      </c>
      <c r="C68" s="470"/>
      <c r="D68" s="435"/>
      <c r="E68" s="417"/>
      <c r="F68" s="417"/>
      <c r="G68" s="417"/>
      <c r="H68" s="417"/>
      <c r="I68" s="417"/>
      <c r="J68" s="417"/>
      <c r="K68" s="417"/>
      <c r="L68" s="417"/>
      <c r="M68" s="417"/>
      <c r="N68" s="417"/>
      <c r="O68" s="417"/>
      <c r="P68" s="417"/>
      <c r="Q68" s="417"/>
      <c r="R68" s="417"/>
      <c r="S68" s="417"/>
      <c r="T68" s="417"/>
      <c r="U68" s="471"/>
      <c r="V68" s="471"/>
      <c r="W68" s="417"/>
      <c r="X68" s="471"/>
      <c r="Y68" s="471"/>
      <c r="Z68" s="471"/>
      <c r="AA68" s="471"/>
      <c r="AB68" s="471"/>
      <c r="AC68" s="471"/>
      <c r="AD68" s="474"/>
    </row>
    <row r="69" spans="1:30" x14ac:dyDescent="0.25">
      <c r="A69" s="483"/>
      <c r="B69" s="435" t="s">
        <v>85</v>
      </c>
      <c r="C69" s="470"/>
      <c r="D69" s="435"/>
      <c r="E69" s="417"/>
      <c r="F69" s="417"/>
      <c r="G69" s="417"/>
      <c r="H69" s="417"/>
      <c r="I69" s="417"/>
      <c r="J69" s="417"/>
      <c r="K69" s="417"/>
      <c r="L69" s="417"/>
      <c r="M69" s="417"/>
      <c r="N69" s="417"/>
      <c r="O69" s="417"/>
      <c r="P69" s="417"/>
      <c r="Q69" s="417"/>
      <c r="R69" s="417"/>
      <c r="S69" s="417"/>
      <c r="T69" s="417"/>
      <c r="U69" s="471"/>
      <c r="V69" s="471"/>
      <c r="W69" s="417"/>
      <c r="X69" s="471"/>
      <c r="Y69" s="471"/>
      <c r="Z69" s="471"/>
      <c r="AA69" s="471"/>
      <c r="AB69" s="471"/>
      <c r="AC69" s="471"/>
      <c r="AD69" s="474"/>
    </row>
    <row r="70" spans="1:30" x14ac:dyDescent="0.25">
      <c r="A70" s="483"/>
      <c r="B70" s="483" t="s">
        <v>86</v>
      </c>
      <c r="C70" s="470"/>
      <c r="D70" s="435"/>
      <c r="E70" s="417"/>
      <c r="F70" s="417"/>
      <c r="G70" s="417"/>
      <c r="H70" s="417"/>
      <c r="I70" s="417"/>
      <c r="J70" s="417"/>
      <c r="K70" s="417"/>
      <c r="L70" s="417"/>
      <c r="M70" s="417"/>
      <c r="N70" s="417"/>
      <c r="O70" s="417"/>
      <c r="P70" s="417"/>
      <c r="Q70" s="417"/>
      <c r="R70" s="417"/>
      <c r="S70" s="417"/>
      <c r="T70" s="417"/>
      <c r="U70" s="471"/>
      <c r="V70" s="471"/>
      <c r="W70" s="417"/>
      <c r="X70" s="471"/>
      <c r="Y70" s="471"/>
      <c r="Z70" s="471"/>
      <c r="AA70" s="471"/>
      <c r="AB70" s="471"/>
      <c r="AC70" s="471"/>
      <c r="AD70" s="474"/>
    </row>
    <row r="71" spans="1:30" x14ac:dyDescent="0.25">
      <c r="A71" s="484"/>
      <c r="B71" s="485" t="s">
        <v>261</v>
      </c>
      <c r="C71" s="470"/>
      <c r="D71" s="435"/>
      <c r="E71" s="417"/>
      <c r="F71" s="417"/>
      <c r="G71" s="417"/>
      <c r="H71" s="417"/>
      <c r="I71" s="417"/>
      <c r="J71" s="417"/>
      <c r="K71" s="417"/>
      <c r="L71" s="417"/>
      <c r="M71" s="417"/>
      <c r="N71" s="417"/>
      <c r="O71" s="417"/>
      <c r="P71" s="417"/>
      <c r="Q71" s="417"/>
      <c r="R71" s="417"/>
      <c r="S71" s="417"/>
      <c r="T71" s="417"/>
      <c r="U71" s="471"/>
      <c r="V71" s="471"/>
      <c r="W71" s="417"/>
      <c r="X71" s="471"/>
      <c r="Y71" s="471"/>
      <c r="Z71" s="471"/>
      <c r="AA71" s="471"/>
      <c r="AB71" s="471"/>
      <c r="AC71" s="471"/>
      <c r="AD71" s="474"/>
    </row>
    <row r="72" spans="1:30" x14ac:dyDescent="0.25">
      <c r="A72" s="463"/>
      <c r="B72" s="464"/>
      <c r="C72" s="464"/>
      <c r="D72" s="480"/>
      <c r="E72" s="417"/>
      <c r="F72" s="417"/>
      <c r="G72" s="417"/>
      <c r="H72" s="417"/>
      <c r="I72" s="417"/>
      <c r="J72" s="417"/>
      <c r="K72" s="417"/>
      <c r="L72" s="417"/>
      <c r="M72" s="417"/>
      <c r="N72" s="417"/>
      <c r="O72" s="417"/>
      <c r="P72" s="417"/>
      <c r="Q72" s="417"/>
      <c r="R72" s="417"/>
      <c r="S72" s="417"/>
      <c r="T72" s="417"/>
      <c r="U72" s="471"/>
      <c r="V72" s="471"/>
      <c r="W72" s="417"/>
      <c r="X72" s="471"/>
      <c r="Y72" s="471"/>
      <c r="Z72" s="471"/>
      <c r="AA72" s="471"/>
      <c r="AB72" s="471"/>
      <c r="AC72" s="471"/>
      <c r="AD72" s="474"/>
    </row>
    <row r="73" spans="1:30" x14ac:dyDescent="0.25">
      <c r="A73" s="417"/>
      <c r="B73" s="417"/>
      <c r="C73" s="417"/>
      <c r="D73" s="417"/>
      <c r="E73" s="417"/>
      <c r="F73" s="417"/>
      <c r="G73" s="417"/>
      <c r="H73" s="417"/>
      <c r="I73" s="417"/>
      <c r="J73" s="417"/>
      <c r="K73" s="417"/>
      <c r="L73" s="417"/>
      <c r="M73" s="417"/>
      <c r="N73" s="417"/>
      <c r="O73" s="417"/>
      <c r="P73" s="417"/>
      <c r="Q73" s="417"/>
      <c r="R73" s="417"/>
      <c r="S73" s="417"/>
      <c r="T73" s="417"/>
      <c r="U73" s="471"/>
      <c r="V73" s="471"/>
      <c r="W73" s="417"/>
      <c r="X73" s="471"/>
      <c r="Y73" s="471"/>
      <c r="Z73" s="471"/>
      <c r="AA73" s="471"/>
      <c r="AB73" s="471"/>
      <c r="AC73" s="471"/>
      <c r="AD73" s="474"/>
    </row>
    <row r="74" spans="1:30" x14ac:dyDescent="0.25">
      <c r="A74" s="417"/>
      <c r="B74" s="417"/>
      <c r="C74" s="417"/>
      <c r="D74" s="417"/>
      <c r="E74" s="417"/>
      <c r="F74" s="417"/>
      <c r="G74" s="417"/>
      <c r="H74" s="417"/>
      <c r="I74" s="417"/>
      <c r="J74" s="417"/>
      <c r="K74" s="417"/>
      <c r="L74" s="417"/>
      <c r="M74" s="417"/>
      <c r="N74" s="417"/>
      <c r="O74" s="417"/>
      <c r="P74" s="417"/>
      <c r="Q74" s="417"/>
      <c r="R74" s="417"/>
      <c r="S74" s="417"/>
      <c r="T74" s="417"/>
      <c r="U74" s="471"/>
      <c r="V74" s="471"/>
      <c r="W74" s="417"/>
      <c r="X74" s="471"/>
      <c r="Y74" s="471"/>
      <c r="Z74" s="471"/>
      <c r="AA74" s="471"/>
      <c r="AB74" s="471"/>
      <c r="AC74" s="471"/>
      <c r="AD74" s="474"/>
    </row>
    <row r="75" spans="1:30" x14ac:dyDescent="0.25">
      <c r="A75" s="417"/>
      <c r="B75" s="417"/>
      <c r="C75" s="417"/>
      <c r="D75" s="417"/>
      <c r="E75" s="417"/>
      <c r="F75" s="417"/>
      <c r="G75" s="417"/>
      <c r="H75" s="417"/>
      <c r="I75" s="417"/>
      <c r="J75" s="417"/>
      <c r="K75" s="417"/>
      <c r="L75" s="417"/>
      <c r="M75" s="417"/>
      <c r="N75" s="417"/>
      <c r="O75" s="417"/>
      <c r="P75" s="417"/>
      <c r="Q75" s="417"/>
      <c r="R75" s="417"/>
      <c r="S75" s="417"/>
      <c r="T75" s="417"/>
      <c r="U75" s="471"/>
      <c r="V75" s="471"/>
      <c r="W75" s="417"/>
      <c r="X75" s="471"/>
      <c r="Y75" s="471"/>
      <c r="Z75" s="471"/>
      <c r="AA75" s="471"/>
      <c r="AB75" s="471"/>
      <c r="AC75" s="471"/>
      <c r="AD75" s="474"/>
    </row>
    <row r="76" spans="1:30" x14ac:dyDescent="0.25">
      <c r="A76" s="417"/>
      <c r="B76" s="417"/>
      <c r="C76" s="417"/>
      <c r="D76" s="417"/>
      <c r="E76" s="417"/>
      <c r="F76" s="417"/>
      <c r="G76" s="417"/>
      <c r="H76" s="417"/>
      <c r="I76" s="417"/>
      <c r="J76" s="417"/>
      <c r="K76" s="417"/>
      <c r="L76" s="417"/>
      <c r="M76" s="417"/>
      <c r="N76" s="417"/>
      <c r="O76" s="417"/>
      <c r="P76" s="417"/>
      <c r="Q76" s="417"/>
      <c r="R76" s="417"/>
      <c r="S76" s="417"/>
      <c r="T76" s="417"/>
      <c r="U76" s="471"/>
      <c r="V76" s="471"/>
      <c r="W76" s="417"/>
      <c r="X76" s="471"/>
      <c r="Y76" s="471"/>
      <c r="Z76" s="471"/>
      <c r="AA76" s="471"/>
      <c r="AB76" s="471"/>
      <c r="AC76" s="471"/>
      <c r="AD76" s="474"/>
    </row>
    <row r="77" spans="1:30" x14ac:dyDescent="0.25">
      <c r="A77" s="417"/>
      <c r="B77" s="417"/>
      <c r="C77" s="417"/>
      <c r="D77" s="417"/>
      <c r="E77" s="417"/>
      <c r="F77" s="417"/>
      <c r="G77" s="417"/>
      <c r="H77" s="417"/>
      <c r="I77" s="417"/>
      <c r="J77" s="417"/>
      <c r="K77" s="417"/>
      <c r="L77" s="417"/>
      <c r="M77" s="417"/>
      <c r="N77" s="417"/>
      <c r="O77" s="417"/>
      <c r="P77" s="417"/>
      <c r="Q77" s="417"/>
      <c r="R77" s="417"/>
      <c r="S77" s="417"/>
      <c r="T77" s="417"/>
      <c r="U77" s="471"/>
      <c r="V77" s="471"/>
      <c r="W77" s="417"/>
      <c r="X77" s="471"/>
      <c r="Y77" s="471"/>
      <c r="Z77" s="471"/>
      <c r="AA77" s="471"/>
      <c r="AB77" s="471"/>
      <c r="AC77" s="471"/>
      <c r="AD77" s="474"/>
    </row>
    <row r="78" spans="1:30" x14ac:dyDescent="0.25">
      <c r="A78" s="417"/>
      <c r="B78" s="417"/>
      <c r="C78" s="417"/>
      <c r="D78" s="417"/>
      <c r="E78" s="417"/>
      <c r="F78" s="417"/>
      <c r="G78" s="417"/>
      <c r="H78" s="417"/>
      <c r="I78" s="417"/>
      <c r="J78" s="417"/>
      <c r="K78" s="417"/>
      <c r="L78" s="417"/>
      <c r="M78" s="417"/>
      <c r="N78" s="417"/>
      <c r="O78" s="417"/>
      <c r="P78" s="417"/>
      <c r="Q78" s="417"/>
      <c r="R78" s="417"/>
      <c r="S78" s="417"/>
      <c r="T78" s="417"/>
      <c r="U78" s="471"/>
      <c r="V78" s="471"/>
      <c r="W78" s="417"/>
      <c r="X78" s="471"/>
      <c r="Y78" s="471"/>
      <c r="Z78" s="471"/>
      <c r="AA78" s="471"/>
      <c r="AB78" s="471"/>
      <c r="AC78" s="471"/>
      <c r="AD78" s="474"/>
    </row>
    <row r="79" spans="1:30" x14ac:dyDescent="0.25">
      <c r="A79" s="417"/>
      <c r="B79" s="417"/>
      <c r="C79" s="417"/>
      <c r="D79" s="417"/>
      <c r="E79" s="417"/>
      <c r="F79" s="417"/>
      <c r="G79" s="417"/>
      <c r="H79" s="417"/>
      <c r="I79" s="417"/>
      <c r="J79" s="417"/>
      <c r="K79" s="417"/>
      <c r="L79" s="417"/>
      <c r="M79" s="417"/>
      <c r="N79" s="417"/>
      <c r="O79" s="417"/>
      <c r="P79" s="417"/>
      <c r="Q79" s="417"/>
      <c r="R79" s="417"/>
      <c r="S79" s="417"/>
      <c r="T79" s="417"/>
      <c r="U79" s="471"/>
      <c r="V79" s="471"/>
      <c r="W79" s="417"/>
      <c r="X79" s="471"/>
      <c r="Y79" s="471"/>
      <c r="Z79" s="471"/>
      <c r="AA79" s="471"/>
      <c r="AB79" s="471"/>
      <c r="AC79" s="471"/>
      <c r="AD79" s="474"/>
    </row>
    <row r="80" spans="1:30" x14ac:dyDescent="0.25">
      <c r="A80" s="417"/>
      <c r="B80" s="417"/>
      <c r="C80" s="417"/>
      <c r="D80" s="417"/>
      <c r="E80" s="417"/>
      <c r="F80" s="417"/>
      <c r="G80" s="417"/>
      <c r="H80" s="417"/>
      <c r="I80" s="417"/>
      <c r="J80" s="417"/>
      <c r="K80" s="417"/>
      <c r="L80" s="417"/>
      <c r="M80" s="417"/>
      <c r="N80" s="417"/>
      <c r="O80" s="417"/>
      <c r="P80" s="417"/>
      <c r="Q80" s="417"/>
      <c r="R80" s="417"/>
      <c r="S80" s="417"/>
      <c r="T80" s="417"/>
      <c r="U80" s="471"/>
      <c r="V80" s="471"/>
      <c r="W80" s="417"/>
      <c r="X80" s="471"/>
      <c r="Y80" s="471"/>
      <c r="Z80" s="471"/>
      <c r="AA80" s="471"/>
      <c r="AB80" s="471"/>
      <c r="AC80" s="471"/>
      <c r="AD80" s="474"/>
    </row>
    <row r="81" spans="1:30" x14ac:dyDescent="0.25">
      <c r="A81" s="417"/>
      <c r="B81" s="417"/>
      <c r="C81" s="417"/>
      <c r="D81" s="417"/>
      <c r="E81" s="417"/>
      <c r="F81" s="417"/>
      <c r="G81" s="417"/>
      <c r="H81" s="417"/>
      <c r="I81" s="417"/>
      <c r="J81" s="417"/>
      <c r="K81" s="417"/>
      <c r="L81" s="417"/>
      <c r="M81" s="417"/>
      <c r="N81" s="417"/>
      <c r="O81" s="417"/>
      <c r="P81" s="417"/>
      <c r="Q81" s="417"/>
      <c r="R81" s="417"/>
      <c r="S81" s="417"/>
      <c r="T81" s="417"/>
      <c r="U81" s="471"/>
      <c r="V81" s="471"/>
      <c r="W81" s="417"/>
      <c r="X81" s="471"/>
      <c r="Y81" s="471"/>
      <c r="Z81" s="471"/>
      <c r="AA81" s="471"/>
      <c r="AB81" s="471"/>
      <c r="AC81" s="471"/>
      <c r="AD81" s="474"/>
    </row>
    <row r="82" spans="1:30" x14ac:dyDescent="0.25">
      <c r="A82" s="417"/>
      <c r="B82" s="417"/>
      <c r="C82" s="417"/>
      <c r="D82" s="417"/>
      <c r="E82" s="417"/>
      <c r="F82" s="417"/>
      <c r="G82" s="417"/>
      <c r="H82" s="417"/>
      <c r="I82" s="417"/>
      <c r="J82" s="417"/>
      <c r="K82" s="417"/>
      <c r="L82" s="417"/>
      <c r="M82" s="417"/>
      <c r="N82" s="417"/>
      <c r="O82" s="417"/>
      <c r="P82" s="417"/>
      <c r="Q82" s="417"/>
      <c r="R82" s="417"/>
      <c r="S82" s="417"/>
      <c r="T82" s="417"/>
      <c r="U82" s="471"/>
      <c r="V82" s="471"/>
      <c r="W82" s="417"/>
      <c r="X82" s="471"/>
      <c r="Y82" s="471"/>
      <c r="Z82" s="471"/>
      <c r="AA82" s="471"/>
      <c r="AB82" s="471"/>
      <c r="AC82" s="471"/>
      <c r="AD82" s="474"/>
    </row>
    <row r="83" spans="1:30" x14ac:dyDescent="0.25">
      <c r="A83" s="417"/>
      <c r="B83" s="417"/>
      <c r="C83" s="417"/>
      <c r="D83" s="417"/>
      <c r="E83" s="417"/>
      <c r="F83" s="417"/>
      <c r="G83" s="417"/>
      <c r="H83" s="417"/>
      <c r="I83" s="417"/>
      <c r="J83" s="417"/>
      <c r="K83" s="417"/>
      <c r="L83" s="417"/>
      <c r="M83" s="417"/>
      <c r="N83" s="417"/>
      <c r="O83" s="417"/>
      <c r="P83" s="417"/>
      <c r="Q83" s="417"/>
      <c r="R83" s="417"/>
      <c r="S83" s="417"/>
      <c r="T83" s="417"/>
      <c r="U83" s="471"/>
      <c r="V83" s="471"/>
      <c r="W83" s="417"/>
      <c r="X83" s="471"/>
      <c r="Y83" s="471"/>
      <c r="Z83" s="471"/>
      <c r="AA83" s="471"/>
      <c r="AB83" s="471"/>
      <c r="AC83" s="471"/>
      <c r="AD83" s="474"/>
    </row>
    <row r="84" spans="1:30" x14ac:dyDescent="0.25">
      <c r="A84" s="417"/>
      <c r="B84" s="417"/>
      <c r="C84" s="417"/>
      <c r="D84" s="417"/>
      <c r="E84" s="417"/>
      <c r="F84" s="417"/>
      <c r="G84" s="417"/>
      <c r="H84" s="417"/>
      <c r="I84" s="417"/>
      <c r="J84" s="417"/>
      <c r="K84" s="417"/>
      <c r="L84" s="417"/>
      <c r="M84" s="417"/>
      <c r="N84" s="417"/>
      <c r="O84" s="417"/>
      <c r="P84" s="417"/>
      <c r="Q84" s="417"/>
      <c r="R84" s="417"/>
      <c r="S84" s="417"/>
      <c r="T84" s="417"/>
      <c r="U84" s="471"/>
      <c r="V84" s="471"/>
      <c r="W84" s="417"/>
      <c r="X84" s="471"/>
      <c r="Y84" s="471"/>
      <c r="Z84" s="471"/>
      <c r="AA84" s="471"/>
      <c r="AB84" s="471"/>
      <c r="AC84" s="471"/>
      <c r="AD84" s="474"/>
    </row>
    <row r="85" spans="1:30" x14ac:dyDescent="0.25">
      <c r="A85" s="417"/>
      <c r="B85" s="417"/>
      <c r="C85" s="417"/>
      <c r="D85" s="417"/>
      <c r="E85" s="417"/>
      <c r="F85" s="417"/>
      <c r="G85" s="417"/>
      <c r="H85" s="417"/>
      <c r="I85" s="417"/>
      <c r="J85" s="417"/>
      <c r="K85" s="417"/>
      <c r="L85" s="417"/>
      <c r="M85" s="417"/>
      <c r="N85" s="417"/>
      <c r="O85" s="417"/>
      <c r="P85" s="417"/>
      <c r="Q85" s="417"/>
      <c r="R85" s="417"/>
      <c r="S85" s="417"/>
      <c r="T85" s="417"/>
      <c r="U85" s="471"/>
      <c r="V85" s="471"/>
      <c r="W85" s="417"/>
      <c r="X85" s="471"/>
      <c r="Y85" s="471"/>
      <c r="Z85" s="471"/>
      <c r="AA85" s="471"/>
      <c r="AB85" s="471"/>
      <c r="AC85" s="471"/>
      <c r="AD85" s="474"/>
    </row>
    <row r="86" spans="1:30" x14ac:dyDescent="0.25">
      <c r="A86" s="417"/>
      <c r="B86" s="417"/>
      <c r="C86" s="417"/>
      <c r="D86" s="417"/>
      <c r="E86" s="417"/>
      <c r="F86" s="417"/>
      <c r="G86" s="417"/>
      <c r="H86" s="417"/>
      <c r="I86" s="417"/>
      <c r="J86" s="417"/>
      <c r="K86" s="417"/>
      <c r="L86" s="417"/>
      <c r="M86" s="417"/>
      <c r="N86" s="417"/>
      <c r="O86" s="417"/>
      <c r="P86" s="417"/>
      <c r="Q86" s="417"/>
      <c r="R86" s="417"/>
      <c r="S86" s="417"/>
      <c r="T86" s="417"/>
      <c r="U86" s="471"/>
      <c r="V86" s="471"/>
      <c r="W86" s="417"/>
      <c r="X86" s="471"/>
      <c r="Y86" s="471"/>
      <c r="Z86" s="471"/>
      <c r="AA86" s="471"/>
      <c r="AB86" s="471"/>
      <c r="AC86" s="471"/>
      <c r="AD86" s="474"/>
    </row>
    <row r="87" spans="1:30" x14ac:dyDescent="0.25">
      <c r="A87" s="417"/>
      <c r="B87" s="417"/>
      <c r="C87" s="417"/>
      <c r="D87" s="417"/>
      <c r="E87" s="417"/>
      <c r="F87" s="417"/>
      <c r="G87" s="417"/>
      <c r="H87" s="417"/>
      <c r="I87" s="417"/>
      <c r="J87" s="417"/>
      <c r="K87" s="417"/>
      <c r="L87" s="417"/>
      <c r="M87" s="417"/>
      <c r="N87" s="417"/>
      <c r="O87" s="417"/>
      <c r="P87" s="417"/>
      <c r="Q87" s="417"/>
      <c r="R87" s="417"/>
      <c r="S87" s="417"/>
      <c r="T87" s="417"/>
      <c r="U87" s="471"/>
      <c r="V87" s="471"/>
      <c r="W87" s="417"/>
      <c r="X87" s="471"/>
      <c r="Y87" s="471"/>
      <c r="Z87" s="471"/>
      <c r="AA87" s="471"/>
      <c r="AB87" s="471"/>
      <c r="AC87" s="471"/>
      <c r="AD87" s="474"/>
    </row>
    <row r="88" spans="1:30" x14ac:dyDescent="0.25">
      <c r="A88" s="417"/>
      <c r="B88" s="417"/>
      <c r="C88" s="417"/>
      <c r="D88" s="417"/>
      <c r="E88" s="417"/>
      <c r="F88" s="417"/>
      <c r="G88" s="417"/>
      <c r="H88" s="417"/>
      <c r="I88" s="417"/>
      <c r="J88" s="417"/>
      <c r="K88" s="417"/>
      <c r="L88" s="417"/>
      <c r="M88" s="417"/>
      <c r="N88" s="417"/>
      <c r="O88" s="417"/>
      <c r="P88" s="417"/>
      <c r="Q88" s="417"/>
      <c r="R88" s="417"/>
      <c r="S88" s="417"/>
      <c r="T88" s="417"/>
      <c r="U88" s="471"/>
      <c r="V88" s="471"/>
      <c r="W88" s="417"/>
      <c r="X88" s="471"/>
      <c r="Y88" s="471"/>
      <c r="Z88" s="471"/>
      <c r="AA88" s="471"/>
      <c r="AB88" s="471"/>
      <c r="AC88" s="471"/>
      <c r="AD88" s="474"/>
    </row>
    <row r="89" spans="1:30" x14ac:dyDescent="0.25">
      <c r="A89" s="417"/>
      <c r="B89" s="417"/>
      <c r="C89" s="417"/>
      <c r="D89" s="417"/>
      <c r="E89" s="417"/>
      <c r="F89" s="417"/>
      <c r="G89" s="417"/>
      <c r="H89" s="417"/>
      <c r="I89" s="417"/>
      <c r="J89" s="417"/>
      <c r="K89" s="417"/>
      <c r="L89" s="417"/>
      <c r="M89" s="417"/>
      <c r="N89" s="417"/>
      <c r="O89" s="417"/>
      <c r="P89" s="417"/>
      <c r="Q89" s="417"/>
      <c r="R89" s="417"/>
      <c r="S89" s="417"/>
      <c r="T89" s="417"/>
      <c r="U89" s="471"/>
      <c r="V89" s="471"/>
      <c r="W89" s="417"/>
      <c r="X89" s="471"/>
      <c r="Y89" s="471"/>
      <c r="Z89" s="471"/>
      <c r="AA89" s="471"/>
      <c r="AB89" s="471"/>
      <c r="AC89" s="471"/>
      <c r="AD89" s="474"/>
    </row>
    <row r="90" spans="1:30" x14ac:dyDescent="0.25">
      <c r="A90" s="417"/>
      <c r="B90" s="417"/>
      <c r="C90" s="417"/>
      <c r="D90" s="417"/>
      <c r="E90" s="417"/>
      <c r="F90" s="417"/>
      <c r="G90" s="417"/>
      <c r="H90" s="417"/>
      <c r="I90" s="417"/>
      <c r="J90" s="417"/>
      <c r="K90" s="417"/>
      <c r="L90" s="417"/>
      <c r="M90" s="417"/>
      <c r="N90" s="417"/>
      <c r="O90" s="417"/>
      <c r="P90" s="417"/>
      <c r="Q90" s="417"/>
      <c r="R90" s="417"/>
      <c r="S90" s="417"/>
      <c r="T90" s="417"/>
      <c r="U90" s="471"/>
      <c r="V90" s="471"/>
      <c r="W90" s="417"/>
      <c r="X90" s="471"/>
      <c r="Y90" s="471"/>
      <c r="Z90" s="471"/>
      <c r="AA90" s="471"/>
      <c r="AB90" s="471"/>
      <c r="AC90" s="471"/>
      <c r="AD90" s="474"/>
    </row>
    <row r="91" spans="1:30" x14ac:dyDescent="0.25">
      <c r="A91" s="417"/>
      <c r="B91" s="417"/>
      <c r="C91" s="417"/>
      <c r="D91" s="417"/>
      <c r="E91" s="417"/>
      <c r="F91" s="417"/>
      <c r="G91" s="417"/>
      <c r="H91" s="417"/>
      <c r="I91" s="417"/>
      <c r="J91" s="417"/>
      <c r="K91" s="417"/>
      <c r="L91" s="417"/>
      <c r="M91" s="417"/>
      <c r="N91" s="417"/>
      <c r="O91" s="417"/>
      <c r="P91" s="417"/>
      <c r="Q91" s="417"/>
      <c r="R91" s="417"/>
      <c r="S91" s="417"/>
      <c r="T91" s="417"/>
      <c r="U91" s="471"/>
      <c r="V91" s="471"/>
      <c r="W91" s="417"/>
      <c r="X91" s="471"/>
      <c r="Y91" s="471"/>
      <c r="Z91" s="471"/>
      <c r="AA91" s="471"/>
      <c r="AB91" s="471"/>
      <c r="AC91" s="471"/>
      <c r="AD91" s="474"/>
    </row>
    <row r="92" spans="1:30" x14ac:dyDescent="0.25">
      <c r="A92" s="417"/>
      <c r="B92" s="417"/>
      <c r="C92" s="417"/>
      <c r="D92" s="417"/>
      <c r="E92" s="417"/>
      <c r="F92" s="417"/>
      <c r="G92" s="417"/>
      <c r="H92" s="417"/>
      <c r="I92" s="417"/>
      <c r="J92" s="417"/>
      <c r="K92" s="417"/>
      <c r="L92" s="417"/>
      <c r="M92" s="417"/>
      <c r="N92" s="417"/>
      <c r="O92" s="417"/>
      <c r="P92" s="417"/>
      <c r="Q92" s="417"/>
      <c r="R92" s="417"/>
      <c r="S92" s="417"/>
      <c r="T92" s="417"/>
      <c r="U92" s="471"/>
      <c r="V92" s="471"/>
      <c r="W92" s="417"/>
      <c r="X92" s="471"/>
      <c r="Y92" s="471"/>
      <c r="Z92" s="471"/>
      <c r="AA92" s="471"/>
      <c r="AB92" s="471"/>
      <c r="AC92" s="471"/>
      <c r="AD92" s="474"/>
    </row>
    <row r="93" spans="1:30" x14ac:dyDescent="0.25">
      <c r="A93" s="417"/>
      <c r="B93" s="417"/>
      <c r="C93" s="417"/>
      <c r="D93" s="417"/>
      <c r="E93" s="417"/>
      <c r="F93" s="417"/>
      <c r="G93" s="417"/>
      <c r="H93" s="417"/>
      <c r="I93" s="417"/>
      <c r="J93" s="417"/>
      <c r="K93" s="417"/>
      <c r="L93" s="417"/>
      <c r="M93" s="417"/>
      <c r="N93" s="417"/>
      <c r="O93" s="417"/>
      <c r="P93" s="417"/>
      <c r="Q93" s="417"/>
      <c r="R93" s="417"/>
      <c r="S93" s="417"/>
      <c r="T93" s="417"/>
      <c r="U93" s="471"/>
      <c r="V93" s="471"/>
      <c r="W93" s="417"/>
      <c r="X93" s="471"/>
      <c r="Y93" s="471"/>
      <c r="Z93" s="471"/>
      <c r="AA93" s="471"/>
      <c r="AB93" s="471"/>
      <c r="AC93" s="471"/>
      <c r="AD93" s="474"/>
    </row>
    <row r="94" spans="1:30" x14ac:dyDescent="0.25">
      <c r="A94" s="417"/>
      <c r="B94" s="417"/>
      <c r="C94" s="417"/>
      <c r="D94" s="417"/>
      <c r="E94" s="417"/>
      <c r="F94" s="417"/>
      <c r="G94" s="417"/>
      <c r="H94" s="417"/>
      <c r="I94" s="417"/>
      <c r="J94" s="417"/>
      <c r="K94" s="417"/>
      <c r="L94" s="417"/>
      <c r="M94" s="417"/>
      <c r="N94" s="417"/>
      <c r="O94" s="417"/>
      <c r="P94" s="417"/>
      <c r="Q94" s="417"/>
      <c r="R94" s="417"/>
      <c r="S94" s="417"/>
      <c r="T94" s="417"/>
      <c r="U94" s="471"/>
      <c r="V94" s="471"/>
      <c r="W94" s="417"/>
      <c r="X94" s="471"/>
      <c r="Y94" s="471"/>
      <c r="Z94" s="471"/>
      <c r="AA94" s="471"/>
      <c r="AB94" s="471"/>
      <c r="AC94" s="471"/>
      <c r="AD94" s="474"/>
    </row>
    <row r="95" spans="1:30" x14ac:dyDescent="0.25">
      <c r="A95" s="417"/>
      <c r="B95" s="417"/>
      <c r="C95" s="417"/>
      <c r="D95" s="417"/>
      <c r="E95" s="417"/>
      <c r="F95" s="417"/>
      <c r="G95" s="417"/>
      <c r="H95" s="417"/>
      <c r="I95" s="417"/>
      <c r="J95" s="417"/>
      <c r="K95" s="417"/>
      <c r="L95" s="417"/>
      <c r="M95" s="417"/>
      <c r="N95" s="417"/>
      <c r="O95" s="417"/>
      <c r="P95" s="417"/>
      <c r="Q95" s="417"/>
      <c r="R95" s="417"/>
      <c r="S95" s="417"/>
      <c r="T95" s="417"/>
      <c r="U95" s="471"/>
      <c r="V95" s="471"/>
      <c r="W95" s="417"/>
      <c r="X95" s="471"/>
      <c r="Y95" s="471"/>
      <c r="Z95" s="471"/>
      <c r="AA95" s="471"/>
      <c r="AB95" s="471"/>
      <c r="AC95" s="471"/>
      <c r="AD95" s="474"/>
    </row>
    <row r="96" spans="1:30" x14ac:dyDescent="0.25">
      <c r="A96" s="417"/>
      <c r="B96" s="417"/>
      <c r="C96" s="417"/>
      <c r="D96" s="417"/>
      <c r="E96" s="417"/>
      <c r="F96" s="417"/>
      <c r="G96" s="417"/>
      <c r="H96" s="417"/>
      <c r="I96" s="417"/>
      <c r="J96" s="417"/>
      <c r="K96" s="417"/>
      <c r="L96" s="417"/>
      <c r="M96" s="417"/>
      <c r="N96" s="417"/>
      <c r="O96" s="417"/>
      <c r="P96" s="417"/>
      <c r="Q96" s="417"/>
      <c r="R96" s="417"/>
      <c r="S96" s="417"/>
      <c r="T96" s="417"/>
      <c r="U96" s="471"/>
      <c r="V96" s="471"/>
      <c r="W96" s="417"/>
      <c r="X96" s="471"/>
      <c r="Y96" s="471"/>
      <c r="Z96" s="471"/>
      <c r="AA96" s="471"/>
      <c r="AB96" s="471"/>
      <c r="AC96" s="471"/>
      <c r="AD96" s="474"/>
    </row>
    <row r="97" spans="1:30" x14ac:dyDescent="0.25">
      <c r="A97" s="417"/>
      <c r="B97" s="417"/>
      <c r="C97" s="417"/>
      <c r="D97" s="417"/>
      <c r="E97" s="417"/>
      <c r="F97" s="417"/>
      <c r="G97" s="417"/>
      <c r="H97" s="417"/>
      <c r="I97" s="417"/>
      <c r="J97" s="417"/>
      <c r="K97" s="417"/>
      <c r="L97" s="417"/>
      <c r="M97" s="417"/>
      <c r="N97" s="417"/>
      <c r="O97" s="417"/>
      <c r="P97" s="417"/>
      <c r="Q97" s="417"/>
      <c r="R97" s="417"/>
      <c r="S97" s="417"/>
      <c r="T97" s="417"/>
      <c r="U97" s="471"/>
      <c r="V97" s="471"/>
      <c r="W97" s="417"/>
      <c r="X97" s="471"/>
      <c r="Y97" s="471"/>
      <c r="Z97" s="471"/>
      <c r="AA97" s="471"/>
      <c r="AB97" s="471"/>
      <c r="AC97" s="471"/>
      <c r="AD97" s="474"/>
    </row>
    <row r="98" spans="1:30" x14ac:dyDescent="0.25">
      <c r="A98" s="417"/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71"/>
      <c r="V98" s="471"/>
      <c r="W98" s="417"/>
      <c r="X98" s="471"/>
      <c r="Y98" s="471"/>
      <c r="Z98" s="471"/>
      <c r="AA98" s="471"/>
      <c r="AB98" s="471"/>
      <c r="AC98" s="471"/>
      <c r="AD98" s="474"/>
    </row>
    <row r="99" spans="1:30" x14ac:dyDescent="0.25">
      <c r="A99" s="417"/>
      <c r="B99" s="417"/>
      <c r="C99" s="417"/>
      <c r="D99" s="417"/>
      <c r="E99" s="417"/>
      <c r="F99" s="417"/>
      <c r="G99" s="417"/>
      <c r="H99" s="417"/>
      <c r="I99" s="417"/>
      <c r="J99" s="417"/>
      <c r="K99" s="417"/>
      <c r="L99" s="417"/>
      <c r="M99" s="417"/>
      <c r="N99" s="417"/>
      <c r="O99" s="417"/>
      <c r="P99" s="417"/>
      <c r="Q99" s="417"/>
      <c r="R99" s="417"/>
      <c r="S99" s="417"/>
      <c r="T99" s="417"/>
      <c r="U99" s="471"/>
      <c r="V99" s="471"/>
      <c r="W99" s="417"/>
      <c r="X99" s="471"/>
      <c r="Y99" s="471"/>
      <c r="Z99" s="471"/>
      <c r="AA99" s="471"/>
      <c r="AB99" s="471"/>
      <c r="AC99" s="471"/>
      <c r="AD99" s="474"/>
    </row>
    <row r="100" spans="1:30" x14ac:dyDescent="0.25">
      <c r="A100" s="417"/>
      <c r="B100" s="417"/>
      <c r="C100" s="417"/>
      <c r="D100" s="417"/>
      <c r="E100" s="417"/>
      <c r="F100" s="417"/>
      <c r="G100" s="417"/>
      <c r="H100" s="417"/>
      <c r="I100" s="417"/>
      <c r="J100" s="417"/>
      <c r="K100" s="417"/>
      <c r="L100" s="417"/>
      <c r="M100" s="417"/>
      <c r="N100" s="417"/>
      <c r="O100" s="417"/>
      <c r="P100" s="417"/>
      <c r="Q100" s="417"/>
      <c r="R100" s="417"/>
      <c r="S100" s="417"/>
      <c r="T100" s="417"/>
      <c r="U100" s="471"/>
      <c r="V100" s="471"/>
      <c r="W100" s="417"/>
      <c r="X100" s="471"/>
      <c r="Y100" s="471"/>
      <c r="Z100" s="471"/>
      <c r="AA100" s="471"/>
      <c r="AB100" s="471"/>
      <c r="AC100" s="471"/>
      <c r="AD100" s="474"/>
    </row>
    <row r="101" spans="1:30" x14ac:dyDescent="0.25">
      <c r="A101" s="417"/>
      <c r="B101" s="417"/>
      <c r="C101" s="417"/>
      <c r="D101" s="417"/>
      <c r="E101" s="417"/>
      <c r="F101" s="417"/>
      <c r="G101" s="417"/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71"/>
      <c r="V101" s="471"/>
      <c r="W101" s="417"/>
      <c r="X101" s="471"/>
      <c r="Y101" s="471"/>
      <c r="Z101" s="471"/>
      <c r="AA101" s="471"/>
      <c r="AB101" s="471"/>
      <c r="AC101" s="471"/>
      <c r="AD101" s="474"/>
    </row>
    <row r="102" spans="1:30" x14ac:dyDescent="0.25">
      <c r="A102" s="417"/>
      <c r="B102" s="417"/>
      <c r="C102" s="417"/>
      <c r="D102" s="417"/>
      <c r="E102" s="417"/>
      <c r="F102" s="417"/>
      <c r="G102" s="417"/>
      <c r="H102" s="417"/>
      <c r="I102" s="417"/>
      <c r="J102" s="417"/>
      <c r="K102" s="417"/>
      <c r="L102" s="417"/>
      <c r="M102" s="417"/>
      <c r="N102" s="417"/>
      <c r="O102" s="417"/>
      <c r="P102" s="417"/>
      <c r="Q102" s="417"/>
      <c r="R102" s="417"/>
      <c r="S102" s="417"/>
      <c r="T102" s="417"/>
      <c r="U102" s="471"/>
      <c r="V102" s="471"/>
      <c r="W102" s="417"/>
      <c r="X102" s="471"/>
      <c r="Y102" s="471"/>
      <c r="Z102" s="471"/>
      <c r="AA102" s="471"/>
      <c r="AB102" s="471"/>
      <c r="AC102" s="471"/>
      <c r="AD102" s="474"/>
    </row>
    <row r="103" spans="1:30" x14ac:dyDescent="0.25">
      <c r="A103" s="417"/>
      <c r="B103" s="417"/>
      <c r="C103" s="417"/>
      <c r="D103" s="417"/>
      <c r="E103" s="417"/>
      <c r="F103" s="417"/>
      <c r="G103" s="417"/>
      <c r="H103" s="417"/>
      <c r="I103" s="417"/>
      <c r="J103" s="417"/>
      <c r="K103" s="417"/>
      <c r="L103" s="417"/>
      <c r="M103" s="417"/>
      <c r="N103" s="417"/>
      <c r="O103" s="417"/>
      <c r="P103" s="417"/>
      <c r="Q103" s="417"/>
      <c r="R103" s="417"/>
      <c r="S103" s="417"/>
      <c r="T103" s="417"/>
      <c r="U103" s="471"/>
      <c r="V103" s="471"/>
      <c r="W103" s="417"/>
      <c r="X103" s="471"/>
      <c r="Y103" s="471"/>
      <c r="Z103" s="471"/>
      <c r="AA103" s="471"/>
      <c r="AB103" s="471"/>
      <c r="AC103" s="471"/>
      <c r="AD103" s="474"/>
    </row>
    <row r="104" spans="1:30" x14ac:dyDescent="0.25">
      <c r="A104" s="417"/>
      <c r="B104" s="417"/>
      <c r="C104" s="417"/>
      <c r="D104" s="417"/>
      <c r="E104" s="417"/>
      <c r="F104" s="417"/>
      <c r="G104" s="417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417"/>
      <c r="T104" s="417"/>
      <c r="U104" s="471"/>
      <c r="V104" s="471"/>
      <c r="W104" s="417"/>
      <c r="X104" s="471"/>
      <c r="Y104" s="471"/>
      <c r="Z104" s="471"/>
      <c r="AA104" s="471"/>
      <c r="AB104" s="471"/>
      <c r="AC104" s="471"/>
      <c r="AD104" s="474"/>
    </row>
    <row r="105" spans="1:30" x14ac:dyDescent="0.25">
      <c r="A105" s="417"/>
      <c r="B105" s="417"/>
      <c r="C105" s="417"/>
      <c r="D105" s="417"/>
      <c r="E105" s="417"/>
      <c r="F105" s="417"/>
      <c r="G105" s="417"/>
      <c r="H105" s="417"/>
      <c r="I105" s="417"/>
      <c r="J105" s="417"/>
      <c r="K105" s="417"/>
      <c r="L105" s="417"/>
      <c r="M105" s="417"/>
      <c r="N105" s="417"/>
      <c r="O105" s="417"/>
      <c r="P105" s="417"/>
      <c r="Q105" s="417"/>
      <c r="R105" s="417"/>
      <c r="S105" s="417"/>
      <c r="T105" s="417"/>
      <c r="U105" s="471"/>
      <c r="V105" s="471"/>
      <c r="W105" s="417"/>
      <c r="X105" s="471"/>
      <c r="Y105" s="471"/>
      <c r="Z105" s="471"/>
      <c r="AA105" s="471"/>
      <c r="AB105" s="471"/>
      <c r="AC105" s="471"/>
      <c r="AD105" s="474"/>
    </row>
    <row r="106" spans="1:30" x14ac:dyDescent="0.25">
      <c r="A106" s="417"/>
      <c r="B106" s="417"/>
      <c r="C106" s="417"/>
      <c r="D106" s="417"/>
      <c r="E106" s="417"/>
      <c r="F106" s="417"/>
      <c r="G106" s="417"/>
      <c r="H106" s="417"/>
      <c r="I106" s="417"/>
      <c r="J106" s="417"/>
      <c r="K106" s="417"/>
      <c r="L106" s="417"/>
      <c r="M106" s="417"/>
      <c r="N106" s="417"/>
      <c r="O106" s="417"/>
      <c r="P106" s="417"/>
      <c r="Q106" s="417"/>
      <c r="R106" s="417"/>
      <c r="S106" s="417"/>
      <c r="T106" s="417"/>
      <c r="U106" s="471"/>
      <c r="V106" s="471"/>
      <c r="W106" s="417"/>
      <c r="X106" s="471"/>
      <c r="Y106" s="471"/>
      <c r="Z106" s="471"/>
      <c r="AA106" s="471"/>
      <c r="AB106" s="471"/>
      <c r="AC106" s="471"/>
      <c r="AD106" s="474"/>
    </row>
    <row r="107" spans="1:30" x14ac:dyDescent="0.25">
      <c r="A107" s="417"/>
      <c r="B107" s="417"/>
      <c r="C107" s="417"/>
      <c r="D107" s="417"/>
      <c r="E107" s="417"/>
      <c r="F107" s="417"/>
      <c r="G107" s="417"/>
      <c r="H107" s="417"/>
      <c r="I107" s="417"/>
      <c r="J107" s="417"/>
      <c r="K107" s="417"/>
      <c r="L107" s="417"/>
      <c r="M107" s="417"/>
      <c r="N107" s="417"/>
      <c r="O107" s="417"/>
      <c r="P107" s="417"/>
      <c r="Q107" s="417"/>
      <c r="R107" s="417"/>
      <c r="S107" s="417"/>
      <c r="T107" s="417"/>
      <c r="U107" s="471"/>
      <c r="V107" s="471"/>
      <c r="W107" s="417"/>
      <c r="X107" s="471"/>
      <c r="Y107" s="471"/>
      <c r="Z107" s="471"/>
      <c r="AA107" s="471"/>
      <c r="AB107" s="471"/>
      <c r="AC107" s="471"/>
      <c r="AD107" s="474"/>
    </row>
    <row r="108" spans="1:30" x14ac:dyDescent="0.25">
      <c r="A108" s="417"/>
      <c r="B108" s="417"/>
      <c r="C108" s="417"/>
      <c r="D108" s="417"/>
      <c r="E108" s="417"/>
      <c r="F108" s="417"/>
      <c r="G108" s="417"/>
      <c r="H108" s="417"/>
      <c r="I108" s="417"/>
      <c r="J108" s="417"/>
      <c r="K108" s="417"/>
      <c r="L108" s="417"/>
      <c r="M108" s="417"/>
      <c r="N108" s="417"/>
      <c r="O108" s="417"/>
      <c r="P108" s="417"/>
      <c r="Q108" s="417"/>
      <c r="R108" s="417"/>
      <c r="S108" s="417"/>
      <c r="T108" s="417"/>
      <c r="U108" s="471"/>
      <c r="V108" s="471"/>
      <c r="W108" s="417"/>
      <c r="X108" s="471"/>
      <c r="Y108" s="471"/>
      <c r="Z108" s="471"/>
      <c r="AA108" s="471"/>
      <c r="AB108" s="471"/>
      <c r="AC108" s="471"/>
      <c r="AD108" s="474"/>
    </row>
    <row r="109" spans="1:30" x14ac:dyDescent="0.25">
      <c r="A109" s="417"/>
      <c r="B109" s="417"/>
      <c r="C109" s="417"/>
      <c r="D109" s="417"/>
      <c r="E109" s="417"/>
      <c r="F109" s="417"/>
      <c r="G109" s="417"/>
      <c r="H109" s="417"/>
      <c r="I109" s="417"/>
      <c r="J109" s="417"/>
      <c r="K109" s="417"/>
      <c r="L109" s="417"/>
      <c r="M109" s="417"/>
      <c r="N109" s="417"/>
      <c r="O109" s="417"/>
      <c r="P109" s="417"/>
      <c r="Q109" s="417"/>
      <c r="R109" s="417"/>
      <c r="S109" s="417"/>
      <c r="T109" s="417"/>
      <c r="U109" s="471"/>
      <c r="V109" s="471"/>
      <c r="W109" s="417"/>
      <c r="X109" s="471"/>
      <c r="Y109" s="471"/>
      <c r="Z109" s="471"/>
      <c r="AA109" s="471"/>
      <c r="AB109" s="471"/>
      <c r="AC109" s="471"/>
      <c r="AD109" s="474"/>
    </row>
    <row r="110" spans="1:30" x14ac:dyDescent="0.25">
      <c r="A110" s="417"/>
      <c r="B110" s="417"/>
      <c r="C110" s="417"/>
      <c r="D110" s="417"/>
      <c r="E110" s="417"/>
      <c r="F110" s="417"/>
      <c r="G110" s="417"/>
      <c r="H110" s="417"/>
      <c r="I110" s="417"/>
      <c r="J110" s="417"/>
      <c r="K110" s="417"/>
      <c r="L110" s="417"/>
      <c r="M110" s="417"/>
      <c r="N110" s="417"/>
      <c r="O110" s="417"/>
      <c r="P110" s="417"/>
      <c r="Q110" s="417"/>
      <c r="R110" s="417"/>
      <c r="S110" s="417"/>
      <c r="T110" s="417"/>
      <c r="U110" s="471"/>
      <c r="V110" s="471"/>
      <c r="W110" s="417"/>
      <c r="X110" s="471"/>
      <c r="Y110" s="471"/>
      <c r="Z110" s="471"/>
      <c r="AA110" s="471"/>
      <c r="AB110" s="471"/>
      <c r="AC110" s="471"/>
      <c r="AD110" s="474"/>
    </row>
    <row r="111" spans="1:30" x14ac:dyDescent="0.25">
      <c r="A111" s="417"/>
      <c r="B111" s="417"/>
      <c r="C111" s="417"/>
      <c r="D111" s="417"/>
      <c r="E111" s="417"/>
      <c r="F111" s="417"/>
      <c r="G111" s="417"/>
      <c r="H111" s="417"/>
      <c r="I111" s="417"/>
      <c r="J111" s="417"/>
      <c r="K111" s="417"/>
      <c r="L111" s="417"/>
      <c r="M111" s="417"/>
      <c r="N111" s="417"/>
      <c r="O111" s="417"/>
      <c r="P111" s="417"/>
      <c r="Q111" s="417"/>
      <c r="R111" s="417"/>
      <c r="S111" s="417"/>
      <c r="T111" s="417"/>
      <c r="U111" s="471"/>
      <c r="V111" s="471"/>
      <c r="W111" s="417"/>
      <c r="X111" s="471"/>
      <c r="Y111" s="471"/>
      <c r="Z111" s="471"/>
      <c r="AA111" s="471"/>
      <c r="AB111" s="471"/>
      <c r="AC111" s="471"/>
      <c r="AD111" s="474"/>
    </row>
    <row r="112" spans="1:30" x14ac:dyDescent="0.25">
      <c r="A112" s="417"/>
      <c r="B112" s="417"/>
      <c r="C112" s="417"/>
      <c r="D112" s="417"/>
      <c r="E112" s="417"/>
      <c r="F112" s="417"/>
      <c r="G112" s="417"/>
      <c r="H112" s="417"/>
      <c r="I112" s="417"/>
      <c r="J112" s="417"/>
      <c r="K112" s="417"/>
      <c r="L112" s="417"/>
      <c r="M112" s="417"/>
      <c r="N112" s="417"/>
      <c r="O112" s="417"/>
      <c r="P112" s="417"/>
      <c r="Q112" s="417"/>
      <c r="R112" s="417"/>
      <c r="S112" s="417"/>
      <c r="T112" s="417"/>
      <c r="U112" s="471"/>
      <c r="V112" s="471"/>
      <c r="W112" s="417"/>
      <c r="X112" s="471"/>
      <c r="Y112" s="471"/>
      <c r="Z112" s="471"/>
      <c r="AA112" s="471"/>
      <c r="AB112" s="471"/>
      <c r="AC112" s="471"/>
      <c r="AD112" s="474"/>
    </row>
    <row r="113" spans="1:30" x14ac:dyDescent="0.25">
      <c r="A113" s="417"/>
      <c r="B113" s="417"/>
      <c r="C113" s="417"/>
      <c r="D113" s="417"/>
      <c r="E113" s="417"/>
      <c r="F113" s="417"/>
      <c r="G113" s="417"/>
      <c r="H113" s="417"/>
      <c r="I113" s="417"/>
      <c r="J113" s="417"/>
      <c r="K113" s="417"/>
      <c r="L113" s="417"/>
      <c r="M113" s="417"/>
      <c r="N113" s="417"/>
      <c r="O113" s="417"/>
      <c r="P113" s="417"/>
      <c r="Q113" s="417"/>
      <c r="R113" s="417"/>
      <c r="S113" s="417"/>
      <c r="T113" s="417"/>
      <c r="U113" s="471"/>
      <c r="V113" s="471"/>
      <c r="W113" s="417"/>
      <c r="X113" s="471"/>
      <c r="Y113" s="471"/>
      <c r="Z113" s="471"/>
      <c r="AA113" s="471"/>
      <c r="AB113" s="471"/>
      <c r="AC113" s="471"/>
      <c r="AD113" s="474"/>
    </row>
    <row r="114" spans="1:30" x14ac:dyDescent="0.25">
      <c r="A114" s="417"/>
      <c r="B114" s="417"/>
      <c r="C114" s="417"/>
      <c r="D114" s="417"/>
      <c r="E114" s="417"/>
      <c r="F114" s="417"/>
      <c r="G114" s="417"/>
      <c r="H114" s="417"/>
      <c r="I114" s="417"/>
      <c r="J114" s="417"/>
      <c r="K114" s="417"/>
      <c r="L114" s="417"/>
      <c r="M114" s="417"/>
      <c r="N114" s="417"/>
      <c r="O114" s="417"/>
      <c r="P114" s="417"/>
      <c r="Q114" s="417"/>
      <c r="R114" s="417"/>
      <c r="S114" s="417"/>
      <c r="T114" s="417"/>
      <c r="U114" s="471"/>
      <c r="V114" s="471"/>
      <c r="W114" s="417"/>
      <c r="X114" s="471"/>
      <c r="Y114" s="471"/>
      <c r="Z114" s="471"/>
      <c r="AA114" s="471"/>
      <c r="AB114" s="471"/>
      <c r="AC114" s="471"/>
      <c r="AD114" s="474"/>
    </row>
    <row r="115" spans="1:30" x14ac:dyDescent="0.25">
      <c r="A115" s="417"/>
      <c r="B115" s="417"/>
      <c r="C115" s="417"/>
      <c r="D115" s="417"/>
      <c r="E115" s="417"/>
      <c r="F115" s="417"/>
      <c r="G115" s="417"/>
      <c r="H115" s="417"/>
      <c r="I115" s="417"/>
      <c r="J115" s="417"/>
      <c r="K115" s="417"/>
      <c r="L115" s="417"/>
      <c r="M115" s="417"/>
      <c r="N115" s="417"/>
      <c r="O115" s="417"/>
      <c r="P115" s="417"/>
      <c r="Q115" s="417"/>
      <c r="R115" s="417"/>
      <c r="S115" s="417"/>
      <c r="T115" s="417"/>
      <c r="U115" s="471"/>
      <c r="V115" s="471"/>
      <c r="W115" s="417"/>
      <c r="X115" s="471"/>
      <c r="Y115" s="471"/>
      <c r="Z115" s="471"/>
      <c r="AA115" s="471"/>
      <c r="AB115" s="471"/>
      <c r="AC115" s="471"/>
      <c r="AD115" s="474"/>
    </row>
    <row r="116" spans="1:30" x14ac:dyDescent="0.25">
      <c r="A116" s="417"/>
      <c r="B116" s="417"/>
      <c r="C116" s="417"/>
      <c r="D116" s="417"/>
      <c r="E116" s="417"/>
      <c r="F116" s="417"/>
      <c r="G116" s="417"/>
      <c r="H116" s="417"/>
      <c r="I116" s="417"/>
      <c r="J116" s="417"/>
      <c r="K116" s="417"/>
      <c r="L116" s="417"/>
      <c r="M116" s="417"/>
      <c r="N116" s="417"/>
      <c r="O116" s="417"/>
      <c r="P116" s="417"/>
      <c r="Q116" s="417"/>
      <c r="R116" s="417"/>
      <c r="S116" s="417"/>
      <c r="T116" s="417"/>
      <c r="U116" s="471"/>
      <c r="V116" s="471"/>
      <c r="W116" s="417"/>
      <c r="X116" s="471"/>
      <c r="Y116" s="471"/>
      <c r="Z116" s="471"/>
      <c r="AA116" s="471"/>
      <c r="AB116" s="471"/>
      <c r="AC116" s="471"/>
      <c r="AD116" s="474"/>
    </row>
    <row r="117" spans="1:30" x14ac:dyDescent="0.25">
      <c r="A117" s="417"/>
      <c r="B117" s="417"/>
      <c r="C117" s="417"/>
      <c r="D117" s="417"/>
      <c r="E117" s="417"/>
      <c r="F117" s="417"/>
      <c r="G117" s="417"/>
      <c r="H117" s="417"/>
      <c r="I117" s="417"/>
      <c r="J117" s="417"/>
      <c r="K117" s="417"/>
      <c r="L117" s="417"/>
      <c r="M117" s="417"/>
      <c r="N117" s="417"/>
      <c r="O117" s="417"/>
      <c r="P117" s="417"/>
      <c r="Q117" s="417"/>
      <c r="R117" s="417"/>
      <c r="S117" s="417"/>
      <c r="T117" s="417"/>
      <c r="U117" s="471"/>
      <c r="V117" s="471"/>
      <c r="W117" s="417"/>
      <c r="X117" s="471"/>
      <c r="Y117" s="471"/>
      <c r="Z117" s="471"/>
      <c r="AA117" s="471"/>
      <c r="AB117" s="471"/>
      <c r="AC117" s="471"/>
      <c r="AD117" s="474"/>
    </row>
    <row r="118" spans="1:30" x14ac:dyDescent="0.25">
      <c r="A118" s="417"/>
      <c r="B118" s="417"/>
      <c r="C118" s="417"/>
      <c r="D118" s="417"/>
      <c r="E118" s="417"/>
      <c r="F118" s="417"/>
      <c r="G118" s="417"/>
      <c r="H118" s="417"/>
      <c r="I118" s="417"/>
      <c r="J118" s="417"/>
      <c r="K118" s="417"/>
      <c r="L118" s="417"/>
      <c r="M118" s="417"/>
      <c r="N118" s="417"/>
      <c r="O118" s="417"/>
      <c r="P118" s="417"/>
      <c r="Q118" s="417"/>
      <c r="R118" s="417"/>
      <c r="S118" s="417"/>
      <c r="T118" s="417"/>
      <c r="U118" s="471"/>
      <c r="V118" s="471"/>
      <c r="W118" s="417"/>
      <c r="X118" s="471"/>
      <c r="Y118" s="471"/>
      <c r="Z118" s="471"/>
      <c r="AA118" s="471"/>
      <c r="AB118" s="471"/>
      <c r="AC118" s="471"/>
      <c r="AD118" s="474"/>
    </row>
    <row r="119" spans="1:30" x14ac:dyDescent="0.25">
      <c r="A119" s="417"/>
      <c r="B119" s="417"/>
      <c r="C119" s="417"/>
      <c r="D119" s="417"/>
      <c r="E119" s="417"/>
      <c r="F119" s="417"/>
      <c r="G119" s="417"/>
      <c r="H119" s="417"/>
      <c r="I119" s="417"/>
      <c r="J119" s="417"/>
      <c r="K119" s="417"/>
      <c r="L119" s="417"/>
      <c r="M119" s="417"/>
      <c r="N119" s="417"/>
      <c r="O119" s="417"/>
      <c r="P119" s="417"/>
      <c r="Q119" s="417"/>
      <c r="R119" s="417"/>
      <c r="S119" s="417"/>
      <c r="T119" s="417"/>
      <c r="U119" s="471"/>
      <c r="V119" s="471"/>
      <c r="W119" s="417"/>
      <c r="X119" s="471"/>
      <c r="Y119" s="471"/>
      <c r="Z119" s="471"/>
      <c r="AA119" s="471"/>
      <c r="AB119" s="471"/>
      <c r="AC119" s="471"/>
      <c r="AD119" s="474"/>
    </row>
    <row r="120" spans="1:30" x14ac:dyDescent="0.25">
      <c r="A120" s="417"/>
      <c r="B120" s="417"/>
      <c r="C120" s="417"/>
      <c r="D120" s="417"/>
      <c r="E120" s="417"/>
      <c r="F120" s="417"/>
      <c r="G120" s="417"/>
      <c r="H120" s="417"/>
      <c r="I120" s="417"/>
      <c r="J120" s="417"/>
      <c r="K120" s="417"/>
      <c r="L120" s="417"/>
      <c r="M120" s="417"/>
      <c r="N120" s="417"/>
      <c r="O120" s="417"/>
      <c r="P120" s="417"/>
      <c r="Q120" s="417"/>
      <c r="R120" s="417"/>
      <c r="S120" s="417"/>
      <c r="T120" s="417"/>
      <c r="U120" s="471"/>
      <c r="V120" s="471"/>
      <c r="W120" s="417"/>
      <c r="X120" s="471"/>
      <c r="Y120" s="471"/>
      <c r="Z120" s="471"/>
      <c r="AA120" s="471"/>
      <c r="AB120" s="471"/>
      <c r="AC120" s="471"/>
      <c r="AD120" s="474"/>
    </row>
    <row r="121" spans="1:30" x14ac:dyDescent="0.25">
      <c r="A121" s="417"/>
      <c r="B121" s="417"/>
      <c r="C121" s="417"/>
      <c r="D121" s="417"/>
      <c r="E121" s="417"/>
      <c r="F121" s="417"/>
      <c r="G121" s="417"/>
      <c r="H121" s="417"/>
      <c r="I121" s="417"/>
      <c r="J121" s="417"/>
      <c r="K121" s="417"/>
      <c r="L121" s="417"/>
      <c r="M121" s="417"/>
      <c r="N121" s="417"/>
      <c r="O121" s="417"/>
      <c r="P121" s="417"/>
      <c r="Q121" s="417"/>
      <c r="R121" s="417"/>
      <c r="S121" s="417"/>
      <c r="T121" s="417"/>
      <c r="U121" s="471"/>
      <c r="V121" s="471"/>
      <c r="W121" s="417"/>
      <c r="X121" s="471"/>
      <c r="Y121" s="471"/>
      <c r="Z121" s="471"/>
      <c r="AA121" s="471"/>
      <c r="AB121" s="471"/>
      <c r="AC121" s="471"/>
      <c r="AD121" s="474"/>
    </row>
    <row r="122" spans="1:30" x14ac:dyDescent="0.25">
      <c r="A122" s="417"/>
      <c r="B122" s="417"/>
      <c r="C122" s="417"/>
      <c r="D122" s="417"/>
      <c r="E122" s="417"/>
      <c r="F122" s="417"/>
      <c r="G122" s="417"/>
      <c r="H122" s="417"/>
      <c r="I122" s="417"/>
      <c r="J122" s="417"/>
      <c r="K122" s="417"/>
      <c r="L122" s="417"/>
      <c r="M122" s="417"/>
      <c r="N122" s="417"/>
      <c r="O122" s="417"/>
      <c r="P122" s="417"/>
      <c r="Q122" s="417"/>
      <c r="R122" s="417"/>
      <c r="S122" s="417"/>
      <c r="T122" s="417"/>
      <c r="U122" s="471"/>
      <c r="V122" s="471"/>
      <c r="W122" s="417"/>
      <c r="X122" s="471"/>
      <c r="Y122" s="471"/>
      <c r="Z122" s="471"/>
      <c r="AA122" s="471"/>
      <c r="AB122" s="471"/>
      <c r="AC122" s="471"/>
      <c r="AD122" s="474"/>
    </row>
    <row r="123" spans="1:30" x14ac:dyDescent="0.25">
      <c r="A123" s="417"/>
      <c r="B123" s="417"/>
      <c r="C123" s="417"/>
      <c r="D123" s="417"/>
      <c r="E123" s="417"/>
      <c r="F123" s="417"/>
      <c r="G123" s="417"/>
      <c r="H123" s="417"/>
      <c r="I123" s="417"/>
      <c r="J123" s="417"/>
      <c r="K123" s="417"/>
      <c r="L123" s="417"/>
      <c r="M123" s="417"/>
      <c r="N123" s="417"/>
      <c r="O123" s="417"/>
      <c r="P123" s="417"/>
      <c r="Q123" s="417"/>
      <c r="R123" s="417"/>
      <c r="S123" s="417"/>
      <c r="T123" s="417"/>
      <c r="U123" s="471"/>
      <c r="V123" s="471"/>
      <c r="W123" s="417"/>
      <c r="X123" s="471"/>
      <c r="Y123" s="471"/>
      <c r="Z123" s="471"/>
      <c r="AA123" s="471"/>
      <c r="AB123" s="471"/>
      <c r="AC123" s="471"/>
      <c r="AD123" s="474"/>
    </row>
    <row r="124" spans="1:30" x14ac:dyDescent="0.25">
      <c r="A124" s="417"/>
      <c r="B124" s="417"/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7"/>
      <c r="O124" s="417"/>
      <c r="P124" s="417"/>
      <c r="Q124" s="417"/>
      <c r="R124" s="417"/>
      <c r="S124" s="417"/>
      <c r="T124" s="417"/>
      <c r="U124" s="471"/>
      <c r="V124" s="471"/>
      <c r="W124" s="417"/>
      <c r="X124" s="471"/>
      <c r="Y124" s="471"/>
      <c r="Z124" s="471"/>
      <c r="AA124" s="471"/>
      <c r="AB124" s="471"/>
      <c r="AC124" s="471"/>
      <c r="AD124" s="474"/>
    </row>
    <row r="125" spans="1:30" x14ac:dyDescent="0.25">
      <c r="A125" s="417"/>
      <c r="B125" s="417"/>
      <c r="C125" s="417"/>
      <c r="D125" s="417"/>
      <c r="E125" s="417"/>
      <c r="F125" s="417"/>
      <c r="G125" s="417"/>
      <c r="H125" s="417"/>
      <c r="I125" s="417"/>
      <c r="J125" s="417"/>
      <c r="K125" s="417"/>
      <c r="L125" s="417"/>
      <c r="M125" s="417"/>
      <c r="N125" s="417"/>
      <c r="O125" s="417"/>
      <c r="P125" s="417"/>
      <c r="Q125" s="417"/>
      <c r="R125" s="417"/>
      <c r="S125" s="417"/>
      <c r="T125" s="417"/>
      <c r="U125" s="471"/>
      <c r="V125" s="471"/>
      <c r="W125" s="417"/>
      <c r="X125" s="471"/>
      <c r="Y125" s="471"/>
      <c r="Z125" s="471"/>
      <c r="AA125" s="471"/>
      <c r="AB125" s="471"/>
      <c r="AC125" s="471"/>
      <c r="AD125" s="474"/>
    </row>
    <row r="126" spans="1:30" x14ac:dyDescent="0.25">
      <c r="A126" s="417"/>
      <c r="B126" s="417"/>
      <c r="C126" s="417"/>
      <c r="D126" s="417"/>
      <c r="E126" s="417"/>
      <c r="F126" s="417"/>
      <c r="G126" s="417"/>
      <c r="H126" s="417"/>
      <c r="I126" s="417"/>
      <c r="J126" s="417"/>
      <c r="K126" s="417"/>
      <c r="L126" s="417"/>
      <c r="M126" s="417"/>
      <c r="N126" s="417"/>
      <c r="O126" s="417"/>
      <c r="P126" s="417"/>
      <c r="Q126" s="417"/>
      <c r="R126" s="417"/>
      <c r="S126" s="417"/>
      <c r="T126" s="417"/>
      <c r="U126" s="471"/>
      <c r="V126" s="471"/>
      <c r="W126" s="417"/>
      <c r="X126" s="471"/>
      <c r="Y126" s="471"/>
      <c r="Z126" s="471"/>
      <c r="AA126" s="471"/>
      <c r="AB126" s="471"/>
      <c r="AC126" s="471"/>
      <c r="AD126" s="474"/>
    </row>
    <row r="127" spans="1:30" x14ac:dyDescent="0.25">
      <c r="A127" s="417"/>
      <c r="B127" s="417"/>
      <c r="C127" s="417"/>
      <c r="D127" s="417"/>
      <c r="E127" s="417"/>
      <c r="F127" s="417"/>
      <c r="G127" s="417"/>
      <c r="H127" s="417"/>
      <c r="I127" s="417"/>
      <c r="J127" s="417"/>
      <c r="K127" s="417"/>
      <c r="L127" s="417"/>
      <c r="M127" s="417"/>
      <c r="N127" s="417"/>
      <c r="O127" s="417"/>
      <c r="P127" s="417"/>
      <c r="Q127" s="417"/>
      <c r="R127" s="417"/>
      <c r="S127" s="417"/>
      <c r="T127" s="417"/>
      <c r="U127" s="471"/>
      <c r="V127" s="471"/>
      <c r="W127" s="417"/>
      <c r="X127" s="471"/>
      <c r="Y127" s="471"/>
      <c r="Z127" s="471"/>
      <c r="AA127" s="471"/>
      <c r="AB127" s="471"/>
      <c r="AC127" s="471"/>
      <c r="AD127" s="474"/>
    </row>
    <row r="128" spans="1:30" x14ac:dyDescent="0.25">
      <c r="A128" s="417"/>
      <c r="B128" s="417"/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7"/>
      <c r="O128" s="417"/>
      <c r="P128" s="417"/>
      <c r="Q128" s="417"/>
      <c r="R128" s="417"/>
      <c r="S128" s="417"/>
      <c r="T128" s="417"/>
      <c r="U128" s="471"/>
      <c r="V128" s="471"/>
      <c r="W128" s="417"/>
      <c r="X128" s="471"/>
      <c r="Y128" s="471"/>
      <c r="Z128" s="471"/>
      <c r="AA128" s="471"/>
      <c r="AB128" s="471"/>
      <c r="AC128" s="471"/>
      <c r="AD128" s="474"/>
    </row>
    <row r="129" spans="1:30" x14ac:dyDescent="0.25">
      <c r="A129" s="417"/>
      <c r="B129" s="417"/>
      <c r="C129" s="417"/>
      <c r="D129" s="417"/>
      <c r="E129" s="417"/>
      <c r="F129" s="417"/>
      <c r="G129" s="417"/>
      <c r="H129" s="417"/>
      <c r="I129" s="417"/>
      <c r="J129" s="417"/>
      <c r="K129" s="417"/>
      <c r="L129" s="417"/>
      <c r="M129" s="417"/>
      <c r="N129" s="417"/>
      <c r="O129" s="417"/>
      <c r="P129" s="417"/>
      <c r="Q129" s="417"/>
      <c r="R129" s="417"/>
      <c r="S129" s="417"/>
      <c r="T129" s="417"/>
      <c r="U129" s="471"/>
      <c r="V129" s="471"/>
      <c r="W129" s="417"/>
      <c r="X129" s="471"/>
      <c r="Y129" s="471"/>
      <c r="Z129" s="471"/>
      <c r="AA129" s="471"/>
      <c r="AB129" s="471"/>
      <c r="AC129" s="471"/>
      <c r="AD129" s="474"/>
    </row>
    <row r="130" spans="1:30" x14ac:dyDescent="0.25">
      <c r="A130" s="417"/>
      <c r="B130" s="417"/>
      <c r="C130" s="417"/>
      <c r="D130" s="417"/>
      <c r="E130" s="417"/>
      <c r="F130" s="417"/>
      <c r="G130" s="417"/>
      <c r="H130" s="417"/>
      <c r="I130" s="417"/>
      <c r="J130" s="417"/>
      <c r="K130" s="417"/>
      <c r="L130" s="417"/>
      <c r="M130" s="417"/>
      <c r="N130" s="417"/>
      <c r="O130" s="417"/>
      <c r="P130" s="417"/>
      <c r="Q130" s="417"/>
      <c r="R130" s="417"/>
      <c r="S130" s="417"/>
      <c r="T130" s="417"/>
      <c r="U130" s="471"/>
      <c r="V130" s="471"/>
      <c r="W130" s="417"/>
      <c r="X130" s="471"/>
      <c r="Y130" s="471"/>
      <c r="Z130" s="471"/>
      <c r="AA130" s="471"/>
      <c r="AB130" s="471"/>
      <c r="AC130" s="471"/>
      <c r="AD130" s="474"/>
    </row>
    <row r="131" spans="1:30" x14ac:dyDescent="0.25">
      <c r="A131" s="417"/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71"/>
      <c r="V131" s="471"/>
      <c r="W131" s="417"/>
      <c r="X131" s="471"/>
      <c r="Y131" s="471"/>
      <c r="Z131" s="471"/>
      <c r="AA131" s="471"/>
      <c r="AB131" s="471"/>
      <c r="AC131" s="471"/>
      <c r="AD131" s="474"/>
    </row>
    <row r="132" spans="1:30" x14ac:dyDescent="0.25">
      <c r="A132" s="417"/>
      <c r="B132" s="417"/>
      <c r="C132" s="417"/>
      <c r="D132" s="417"/>
      <c r="E132" s="417"/>
      <c r="F132" s="417"/>
      <c r="G132" s="417"/>
      <c r="H132" s="417"/>
      <c r="I132" s="417"/>
      <c r="J132" s="417"/>
      <c r="K132" s="417"/>
      <c r="L132" s="417"/>
      <c r="M132" s="417"/>
      <c r="N132" s="417"/>
      <c r="O132" s="417"/>
      <c r="P132" s="417"/>
      <c r="Q132" s="417"/>
      <c r="R132" s="417"/>
      <c r="S132" s="417"/>
      <c r="T132" s="417"/>
      <c r="U132" s="471"/>
      <c r="V132" s="471"/>
      <c r="W132" s="417"/>
      <c r="X132" s="471"/>
      <c r="Y132" s="471"/>
      <c r="Z132" s="471"/>
      <c r="AA132" s="471"/>
      <c r="AB132" s="471"/>
      <c r="AC132" s="471"/>
      <c r="AD132" s="474"/>
    </row>
    <row r="133" spans="1:30" x14ac:dyDescent="0.25">
      <c r="A133" s="417"/>
      <c r="B133" s="417"/>
      <c r="C133" s="417"/>
      <c r="D133" s="417"/>
      <c r="E133" s="417"/>
      <c r="F133" s="417"/>
      <c r="G133" s="417"/>
      <c r="H133" s="417"/>
      <c r="I133" s="417"/>
      <c r="J133" s="417"/>
      <c r="K133" s="417"/>
      <c r="L133" s="417"/>
      <c r="M133" s="417"/>
      <c r="N133" s="417"/>
      <c r="O133" s="417"/>
      <c r="P133" s="417"/>
      <c r="Q133" s="417"/>
      <c r="R133" s="417"/>
      <c r="S133" s="417"/>
      <c r="T133" s="417"/>
      <c r="U133" s="471"/>
      <c r="V133" s="471"/>
      <c r="W133" s="417"/>
      <c r="X133" s="471"/>
      <c r="Y133" s="471"/>
      <c r="Z133" s="471"/>
      <c r="AA133" s="471"/>
      <c r="AB133" s="471"/>
      <c r="AC133" s="471"/>
      <c r="AD133" s="474"/>
    </row>
    <row r="134" spans="1:30" x14ac:dyDescent="0.25">
      <c r="A134" s="417"/>
      <c r="B134" s="417"/>
      <c r="C134" s="417"/>
      <c r="D134" s="417"/>
      <c r="E134" s="417"/>
      <c r="F134" s="417"/>
      <c r="G134" s="417"/>
      <c r="H134" s="417"/>
      <c r="I134" s="417"/>
      <c r="J134" s="417"/>
      <c r="K134" s="417"/>
      <c r="L134" s="417"/>
      <c r="M134" s="417"/>
      <c r="N134" s="417"/>
      <c r="O134" s="417"/>
      <c r="P134" s="417"/>
      <c r="Q134" s="417"/>
      <c r="R134" s="417"/>
      <c r="S134" s="417"/>
      <c r="T134" s="417"/>
      <c r="U134" s="471"/>
      <c r="V134" s="471"/>
      <c r="W134" s="417"/>
      <c r="X134" s="471"/>
      <c r="Y134" s="471"/>
      <c r="Z134" s="471"/>
      <c r="AA134" s="471"/>
      <c r="AB134" s="471"/>
      <c r="AC134" s="471"/>
      <c r="AD134" s="474"/>
    </row>
    <row r="135" spans="1:30" x14ac:dyDescent="0.25">
      <c r="A135" s="417"/>
      <c r="B135" s="417"/>
      <c r="C135" s="417"/>
      <c r="D135" s="417"/>
      <c r="E135" s="417"/>
      <c r="F135" s="417"/>
      <c r="G135" s="417"/>
      <c r="H135" s="417"/>
      <c r="I135" s="417"/>
      <c r="J135" s="417"/>
      <c r="K135" s="417"/>
      <c r="L135" s="417"/>
      <c r="M135" s="417"/>
      <c r="N135" s="417"/>
      <c r="O135" s="417"/>
      <c r="P135" s="417"/>
      <c r="Q135" s="417"/>
      <c r="R135" s="417"/>
      <c r="S135" s="417"/>
      <c r="T135" s="417"/>
      <c r="U135" s="471"/>
      <c r="V135" s="471"/>
      <c r="W135" s="417"/>
      <c r="X135" s="471"/>
      <c r="Y135" s="471"/>
      <c r="Z135" s="471"/>
      <c r="AA135" s="471"/>
      <c r="AB135" s="471"/>
      <c r="AC135" s="471"/>
      <c r="AD135" s="474"/>
    </row>
    <row r="136" spans="1:30" x14ac:dyDescent="0.25">
      <c r="A136" s="417"/>
      <c r="B136" s="417"/>
      <c r="C136" s="417"/>
      <c r="D136" s="417"/>
      <c r="E136" s="417"/>
      <c r="F136" s="417"/>
      <c r="G136" s="417"/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71"/>
      <c r="V136" s="471"/>
      <c r="W136" s="417"/>
      <c r="X136" s="471"/>
      <c r="Y136" s="471"/>
      <c r="Z136" s="471"/>
      <c r="AA136" s="471"/>
      <c r="AB136" s="471"/>
      <c r="AC136" s="471"/>
      <c r="AD136" s="474"/>
    </row>
    <row r="137" spans="1:30" x14ac:dyDescent="0.25">
      <c r="A137" s="417"/>
      <c r="B137" s="417"/>
      <c r="C137" s="417"/>
      <c r="D137" s="417"/>
      <c r="E137" s="417"/>
      <c r="F137" s="417"/>
      <c r="G137" s="417"/>
      <c r="H137" s="417"/>
      <c r="I137" s="417"/>
      <c r="J137" s="417"/>
      <c r="K137" s="417"/>
      <c r="L137" s="417"/>
      <c r="M137" s="417"/>
      <c r="N137" s="417"/>
      <c r="O137" s="417"/>
      <c r="P137" s="417"/>
      <c r="Q137" s="417"/>
      <c r="R137" s="417"/>
      <c r="S137" s="417"/>
      <c r="T137" s="417"/>
      <c r="U137" s="471"/>
      <c r="V137" s="471"/>
      <c r="W137" s="417"/>
      <c r="X137" s="471"/>
      <c r="Y137" s="471"/>
      <c r="Z137" s="471"/>
      <c r="AA137" s="471"/>
      <c r="AB137" s="471"/>
      <c r="AC137" s="471"/>
      <c r="AD137" s="474"/>
    </row>
    <row r="138" spans="1:30" x14ac:dyDescent="0.25">
      <c r="A138" s="417"/>
      <c r="B138" s="417"/>
      <c r="C138" s="417"/>
      <c r="D138" s="417"/>
      <c r="E138" s="417"/>
      <c r="F138" s="417"/>
      <c r="G138" s="417"/>
      <c r="H138" s="417"/>
      <c r="I138" s="417"/>
      <c r="J138" s="417"/>
      <c r="K138" s="417"/>
      <c r="L138" s="417"/>
      <c r="M138" s="417"/>
      <c r="N138" s="417"/>
      <c r="O138" s="417"/>
      <c r="P138" s="417"/>
      <c r="Q138" s="417"/>
      <c r="R138" s="417"/>
      <c r="S138" s="417"/>
      <c r="T138" s="417"/>
      <c r="U138" s="471"/>
      <c r="V138" s="471"/>
      <c r="W138" s="417"/>
      <c r="X138" s="471"/>
      <c r="Y138" s="471"/>
      <c r="Z138" s="471"/>
      <c r="AA138" s="471"/>
      <c r="AB138" s="471"/>
      <c r="AC138" s="471"/>
      <c r="AD138" s="474"/>
    </row>
    <row r="139" spans="1:30" x14ac:dyDescent="0.25">
      <c r="A139" s="417"/>
      <c r="B139" s="417"/>
      <c r="C139" s="417"/>
      <c r="D139" s="417"/>
      <c r="E139" s="417"/>
      <c r="F139" s="417"/>
      <c r="G139" s="417"/>
      <c r="H139" s="417"/>
      <c r="I139" s="417"/>
      <c r="J139" s="417"/>
      <c r="K139" s="417"/>
      <c r="L139" s="417"/>
      <c r="M139" s="417"/>
      <c r="N139" s="417"/>
      <c r="O139" s="417"/>
      <c r="P139" s="417"/>
      <c r="Q139" s="417"/>
      <c r="R139" s="417"/>
      <c r="S139" s="417"/>
      <c r="T139" s="417"/>
      <c r="U139" s="471"/>
      <c r="V139" s="471"/>
      <c r="W139" s="417"/>
      <c r="X139" s="471"/>
      <c r="Y139" s="471"/>
      <c r="Z139" s="471"/>
      <c r="AA139" s="471"/>
      <c r="AB139" s="471"/>
      <c r="AC139" s="471"/>
      <c r="AD139" s="474"/>
    </row>
    <row r="140" spans="1:30" x14ac:dyDescent="0.25">
      <c r="A140" s="417"/>
      <c r="B140" s="417"/>
      <c r="C140" s="417"/>
      <c r="D140" s="417"/>
      <c r="E140" s="417"/>
      <c r="F140" s="417"/>
      <c r="G140" s="417"/>
      <c r="H140" s="417"/>
      <c r="I140" s="417"/>
      <c r="J140" s="417"/>
      <c r="K140" s="417"/>
      <c r="L140" s="417"/>
      <c r="M140" s="417"/>
      <c r="N140" s="417"/>
      <c r="O140" s="417"/>
      <c r="P140" s="417"/>
      <c r="Q140" s="417"/>
      <c r="R140" s="417"/>
      <c r="S140" s="417"/>
      <c r="T140" s="417"/>
      <c r="U140" s="471"/>
      <c r="V140" s="471"/>
      <c r="W140" s="417"/>
      <c r="X140" s="471"/>
      <c r="Y140" s="471"/>
      <c r="Z140" s="471"/>
      <c r="AA140" s="471"/>
      <c r="AB140" s="471"/>
      <c r="AC140" s="471"/>
      <c r="AD140" s="474"/>
    </row>
    <row r="141" spans="1:30" x14ac:dyDescent="0.25">
      <c r="A141" s="417"/>
      <c r="B141" s="417"/>
      <c r="C141" s="417"/>
      <c r="D141" s="417"/>
      <c r="E141" s="417"/>
      <c r="F141" s="417"/>
      <c r="G141" s="417"/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71"/>
      <c r="V141" s="471"/>
      <c r="W141" s="417"/>
      <c r="X141" s="471"/>
      <c r="Y141" s="471"/>
      <c r="Z141" s="471"/>
      <c r="AA141" s="471"/>
      <c r="AB141" s="471"/>
      <c r="AC141" s="471"/>
      <c r="AD141" s="474"/>
    </row>
    <row r="142" spans="1:30" x14ac:dyDescent="0.25">
      <c r="A142" s="417"/>
      <c r="B142" s="417"/>
      <c r="C142" s="417"/>
      <c r="D142" s="417"/>
      <c r="E142" s="417"/>
      <c r="F142" s="417"/>
      <c r="G142" s="417"/>
      <c r="H142" s="417"/>
      <c r="I142" s="417"/>
      <c r="J142" s="417"/>
      <c r="K142" s="417"/>
      <c r="L142" s="417"/>
      <c r="M142" s="417"/>
      <c r="N142" s="417"/>
      <c r="O142" s="417"/>
      <c r="P142" s="417"/>
      <c r="Q142" s="417"/>
      <c r="R142" s="417"/>
      <c r="S142" s="417"/>
      <c r="T142" s="417"/>
      <c r="U142" s="471"/>
      <c r="V142" s="471"/>
      <c r="W142" s="417"/>
      <c r="X142" s="471"/>
      <c r="Y142" s="471"/>
      <c r="Z142" s="471"/>
      <c r="AA142" s="471"/>
      <c r="AB142" s="471"/>
      <c r="AC142" s="471"/>
      <c r="AD142" s="474"/>
    </row>
    <row r="143" spans="1:30" x14ac:dyDescent="0.25">
      <c r="A143" s="417"/>
      <c r="B143" s="417"/>
      <c r="C143" s="417"/>
      <c r="D143" s="417"/>
      <c r="E143" s="417"/>
      <c r="F143" s="417"/>
      <c r="G143" s="417"/>
      <c r="H143" s="417"/>
      <c r="I143" s="417"/>
      <c r="J143" s="417"/>
      <c r="K143" s="417"/>
      <c r="L143" s="417"/>
      <c r="M143" s="417"/>
      <c r="N143" s="417"/>
      <c r="O143" s="417"/>
      <c r="P143" s="417"/>
      <c r="Q143" s="417"/>
      <c r="R143" s="417"/>
      <c r="S143" s="417"/>
      <c r="T143" s="417"/>
      <c r="U143" s="471"/>
      <c r="V143" s="471"/>
      <c r="W143" s="417"/>
      <c r="X143" s="471"/>
      <c r="Y143" s="471"/>
      <c r="Z143" s="471"/>
      <c r="AA143" s="471"/>
      <c r="AB143" s="471"/>
      <c r="AC143" s="471"/>
      <c r="AD143" s="474"/>
    </row>
    <row r="144" spans="1:30" x14ac:dyDescent="0.25">
      <c r="A144" s="417"/>
      <c r="B144" s="417"/>
      <c r="C144" s="417"/>
      <c r="D144" s="417"/>
      <c r="E144" s="417"/>
      <c r="F144" s="417"/>
      <c r="G144" s="417"/>
      <c r="H144" s="417"/>
      <c r="I144" s="417"/>
      <c r="J144" s="417"/>
      <c r="K144" s="417"/>
      <c r="L144" s="417"/>
      <c r="M144" s="417"/>
      <c r="N144" s="417"/>
      <c r="O144" s="417"/>
      <c r="P144" s="417"/>
      <c r="Q144" s="417"/>
      <c r="R144" s="417"/>
      <c r="S144" s="417"/>
      <c r="T144" s="417"/>
      <c r="U144" s="471"/>
      <c r="V144" s="471"/>
      <c r="W144" s="417"/>
      <c r="X144" s="471"/>
      <c r="Y144" s="471"/>
      <c r="Z144" s="471"/>
      <c r="AA144" s="471"/>
      <c r="AB144" s="471"/>
      <c r="AC144" s="471"/>
      <c r="AD144" s="474"/>
    </row>
    <row r="145" spans="1:30" x14ac:dyDescent="0.25">
      <c r="A145" s="417"/>
      <c r="B145" s="417"/>
      <c r="C145" s="417"/>
      <c r="D145" s="417"/>
      <c r="E145" s="417"/>
      <c r="F145" s="417"/>
      <c r="G145" s="417"/>
      <c r="H145" s="417"/>
      <c r="I145" s="417"/>
      <c r="J145" s="417"/>
      <c r="K145" s="417"/>
      <c r="L145" s="417"/>
      <c r="M145" s="417"/>
      <c r="N145" s="417"/>
      <c r="O145" s="417"/>
      <c r="P145" s="417"/>
      <c r="Q145" s="417"/>
      <c r="R145" s="417"/>
      <c r="S145" s="417"/>
      <c r="T145" s="417"/>
      <c r="U145" s="471"/>
      <c r="V145" s="471"/>
      <c r="W145" s="417"/>
      <c r="X145" s="471"/>
      <c r="Y145" s="471"/>
      <c r="Z145" s="471"/>
      <c r="AA145" s="471"/>
      <c r="AB145" s="471"/>
      <c r="AC145" s="471"/>
      <c r="AD145" s="474"/>
    </row>
    <row r="146" spans="1:30" x14ac:dyDescent="0.25">
      <c r="A146" s="417"/>
      <c r="B146" s="417"/>
      <c r="C146" s="417"/>
      <c r="D146" s="417"/>
      <c r="E146" s="417"/>
      <c r="F146" s="417"/>
      <c r="G146" s="417"/>
      <c r="H146" s="417"/>
      <c r="I146" s="417"/>
      <c r="J146" s="417"/>
      <c r="K146" s="417"/>
      <c r="L146" s="417"/>
      <c r="M146" s="417"/>
      <c r="N146" s="417"/>
      <c r="O146" s="417"/>
      <c r="P146" s="417"/>
      <c r="Q146" s="417"/>
      <c r="R146" s="417"/>
      <c r="S146" s="417"/>
      <c r="T146" s="417"/>
      <c r="U146" s="471"/>
      <c r="V146" s="471"/>
      <c r="W146" s="417"/>
      <c r="X146" s="471"/>
      <c r="Y146" s="471"/>
      <c r="Z146" s="471"/>
      <c r="AA146" s="471"/>
      <c r="AB146" s="471"/>
      <c r="AC146" s="471"/>
      <c r="AD146" s="474"/>
    </row>
    <row r="147" spans="1:30" x14ac:dyDescent="0.25">
      <c r="A147" s="417"/>
      <c r="B147" s="417"/>
      <c r="C147" s="417"/>
      <c r="D147" s="417"/>
      <c r="E147" s="417"/>
      <c r="F147" s="417"/>
      <c r="G147" s="417"/>
      <c r="H147" s="417"/>
      <c r="I147" s="417"/>
      <c r="J147" s="417"/>
      <c r="K147" s="417"/>
      <c r="L147" s="417"/>
      <c r="M147" s="417"/>
      <c r="N147" s="417"/>
      <c r="O147" s="417"/>
      <c r="P147" s="417"/>
      <c r="Q147" s="417"/>
      <c r="R147" s="417"/>
      <c r="S147" s="417"/>
      <c r="T147" s="417"/>
      <c r="U147" s="471"/>
      <c r="V147" s="471"/>
      <c r="W147" s="417"/>
      <c r="X147" s="471"/>
      <c r="Y147" s="471"/>
      <c r="Z147" s="471"/>
      <c r="AA147" s="471"/>
      <c r="AB147" s="471"/>
      <c r="AC147" s="471"/>
      <c r="AD147" s="474"/>
    </row>
    <row r="148" spans="1:30" x14ac:dyDescent="0.25">
      <c r="A148" s="417"/>
      <c r="B148" s="417"/>
      <c r="C148" s="417"/>
      <c r="D148" s="417"/>
      <c r="E148" s="417"/>
      <c r="F148" s="417"/>
      <c r="G148" s="417"/>
      <c r="H148" s="417"/>
      <c r="I148" s="417"/>
      <c r="J148" s="417"/>
      <c r="K148" s="417"/>
      <c r="L148" s="417"/>
      <c r="M148" s="417"/>
      <c r="N148" s="417"/>
      <c r="O148" s="417"/>
      <c r="P148" s="417"/>
      <c r="Q148" s="417"/>
      <c r="R148" s="417"/>
      <c r="S148" s="417"/>
      <c r="T148" s="417"/>
      <c r="U148" s="471"/>
      <c r="V148" s="471"/>
      <c r="W148" s="417"/>
      <c r="X148" s="471"/>
      <c r="Y148" s="471"/>
      <c r="Z148" s="471"/>
      <c r="AA148" s="471"/>
      <c r="AB148" s="471"/>
      <c r="AC148" s="471"/>
      <c r="AD148" s="474"/>
    </row>
    <row r="149" spans="1:30" x14ac:dyDescent="0.25">
      <c r="A149" s="417"/>
      <c r="B149" s="417"/>
      <c r="C149" s="417"/>
      <c r="D149" s="417"/>
      <c r="E149" s="417"/>
      <c r="F149" s="417"/>
      <c r="G149" s="417"/>
      <c r="H149" s="417"/>
      <c r="I149" s="417"/>
      <c r="J149" s="417"/>
      <c r="K149" s="417"/>
      <c r="L149" s="417"/>
      <c r="M149" s="417"/>
      <c r="N149" s="417"/>
      <c r="O149" s="417"/>
      <c r="P149" s="417"/>
      <c r="Q149" s="417"/>
      <c r="R149" s="417"/>
      <c r="S149" s="417"/>
      <c r="T149" s="417"/>
      <c r="U149" s="471"/>
      <c r="V149" s="471"/>
      <c r="W149" s="417"/>
      <c r="X149" s="471"/>
      <c r="Y149" s="471"/>
      <c r="Z149" s="471"/>
      <c r="AA149" s="471"/>
      <c r="AB149" s="471"/>
      <c r="AC149" s="471"/>
      <c r="AD149" s="474"/>
    </row>
    <row r="150" spans="1:30" x14ac:dyDescent="0.25">
      <c r="A150" s="417"/>
      <c r="B150" s="417"/>
      <c r="C150" s="417"/>
      <c r="D150" s="417"/>
      <c r="E150" s="417"/>
      <c r="F150" s="417"/>
      <c r="G150" s="417"/>
      <c r="H150" s="417"/>
      <c r="I150" s="417"/>
      <c r="J150" s="417"/>
      <c r="K150" s="417"/>
      <c r="L150" s="417"/>
      <c r="M150" s="417"/>
      <c r="N150" s="417"/>
      <c r="O150" s="417"/>
      <c r="P150" s="417"/>
      <c r="Q150" s="417"/>
      <c r="R150" s="417"/>
      <c r="S150" s="417"/>
      <c r="T150" s="417"/>
      <c r="U150" s="471"/>
      <c r="V150" s="471"/>
      <c r="W150" s="417"/>
      <c r="X150" s="471"/>
      <c r="Y150" s="471"/>
      <c r="Z150" s="471"/>
      <c r="AA150" s="471"/>
      <c r="AB150" s="471"/>
      <c r="AC150" s="471"/>
      <c r="AD150" s="474"/>
    </row>
    <row r="151" spans="1:30" x14ac:dyDescent="0.25">
      <c r="A151" s="417"/>
      <c r="B151" s="417"/>
      <c r="C151" s="417"/>
      <c r="D151" s="417"/>
      <c r="E151" s="417"/>
      <c r="F151" s="417"/>
      <c r="G151" s="417"/>
      <c r="H151" s="417"/>
      <c r="I151" s="417"/>
      <c r="J151" s="417"/>
      <c r="K151" s="417"/>
      <c r="L151" s="417"/>
      <c r="M151" s="417"/>
      <c r="N151" s="417"/>
      <c r="O151" s="417"/>
      <c r="P151" s="417"/>
      <c r="Q151" s="417"/>
      <c r="R151" s="417"/>
      <c r="S151" s="417"/>
      <c r="T151" s="417"/>
      <c r="U151" s="471"/>
      <c r="V151" s="471"/>
      <c r="W151" s="417"/>
      <c r="X151" s="471"/>
      <c r="Y151" s="471"/>
      <c r="Z151" s="471"/>
      <c r="AA151" s="471"/>
      <c r="AB151" s="471"/>
      <c r="AC151" s="471"/>
      <c r="AD151" s="474"/>
    </row>
    <row r="152" spans="1:30" x14ac:dyDescent="0.25">
      <c r="A152" s="417"/>
      <c r="B152" s="417"/>
      <c r="C152" s="417"/>
      <c r="D152" s="417"/>
      <c r="E152" s="417"/>
      <c r="F152" s="417"/>
      <c r="G152" s="417"/>
      <c r="H152" s="417"/>
      <c r="I152" s="417"/>
      <c r="J152" s="417"/>
      <c r="K152" s="417"/>
      <c r="L152" s="417"/>
      <c r="M152" s="417"/>
      <c r="N152" s="417"/>
      <c r="O152" s="417"/>
      <c r="P152" s="417"/>
      <c r="Q152" s="417"/>
      <c r="R152" s="417"/>
      <c r="S152" s="417"/>
      <c r="T152" s="417"/>
      <c r="U152" s="471"/>
      <c r="V152" s="471"/>
      <c r="W152" s="417"/>
      <c r="X152" s="471"/>
      <c r="Y152" s="471"/>
      <c r="Z152" s="471"/>
      <c r="AA152" s="471"/>
      <c r="AB152" s="471"/>
      <c r="AC152" s="471"/>
      <c r="AD152" s="474"/>
    </row>
    <row r="153" spans="1:30" x14ac:dyDescent="0.25">
      <c r="A153" s="417"/>
      <c r="B153" s="417"/>
      <c r="C153" s="417"/>
      <c r="D153" s="417"/>
      <c r="E153" s="417"/>
      <c r="F153" s="417"/>
      <c r="G153" s="417"/>
      <c r="H153" s="417"/>
      <c r="I153" s="417"/>
      <c r="J153" s="417"/>
      <c r="K153" s="417"/>
      <c r="L153" s="417"/>
      <c r="M153" s="417"/>
      <c r="N153" s="417"/>
      <c r="O153" s="417"/>
      <c r="P153" s="417"/>
      <c r="Q153" s="417"/>
      <c r="R153" s="417"/>
      <c r="S153" s="417"/>
      <c r="T153" s="417"/>
      <c r="U153" s="471"/>
      <c r="V153" s="471"/>
      <c r="W153" s="417"/>
      <c r="X153" s="471"/>
      <c r="Y153" s="471"/>
      <c r="Z153" s="471"/>
      <c r="AA153" s="471"/>
      <c r="AB153" s="471"/>
      <c r="AC153" s="471"/>
      <c r="AD153" s="474"/>
    </row>
    <row r="154" spans="1:30" x14ac:dyDescent="0.25">
      <c r="A154" s="417"/>
      <c r="B154" s="417"/>
      <c r="C154" s="417"/>
      <c r="D154" s="417"/>
      <c r="E154" s="417"/>
      <c r="F154" s="417"/>
      <c r="G154" s="417"/>
      <c r="H154" s="417"/>
      <c r="I154" s="417"/>
      <c r="J154" s="417"/>
      <c r="K154" s="417"/>
      <c r="L154" s="417"/>
      <c r="M154" s="417"/>
      <c r="N154" s="417"/>
      <c r="O154" s="417"/>
      <c r="P154" s="417"/>
      <c r="Q154" s="417"/>
      <c r="R154" s="417"/>
      <c r="S154" s="417"/>
      <c r="T154" s="417"/>
      <c r="U154" s="471"/>
      <c r="V154" s="471"/>
      <c r="W154" s="417"/>
      <c r="X154" s="471"/>
      <c r="Y154" s="471"/>
      <c r="Z154" s="471"/>
      <c r="AA154" s="471"/>
      <c r="AB154" s="471"/>
      <c r="AC154" s="471"/>
      <c r="AD154" s="474"/>
    </row>
    <row r="155" spans="1:30" x14ac:dyDescent="0.25">
      <c r="A155" s="417"/>
      <c r="B155" s="417"/>
      <c r="C155" s="417"/>
      <c r="D155" s="417"/>
      <c r="E155" s="417"/>
      <c r="F155" s="417"/>
      <c r="G155" s="417"/>
      <c r="H155" s="417"/>
      <c r="I155" s="417"/>
      <c r="J155" s="417"/>
      <c r="K155" s="417"/>
      <c r="L155" s="417"/>
      <c r="M155" s="417"/>
      <c r="N155" s="417"/>
      <c r="O155" s="417"/>
      <c r="P155" s="417"/>
      <c r="Q155" s="417"/>
      <c r="R155" s="417"/>
      <c r="S155" s="417"/>
      <c r="T155" s="417"/>
      <c r="U155" s="471"/>
      <c r="V155" s="471"/>
      <c r="W155" s="417"/>
      <c r="X155" s="471"/>
      <c r="Y155" s="471"/>
      <c r="Z155" s="471"/>
      <c r="AA155" s="471"/>
      <c r="AB155" s="471"/>
      <c r="AC155" s="471"/>
      <c r="AD155" s="474"/>
    </row>
    <row r="156" spans="1:30" x14ac:dyDescent="0.25">
      <c r="A156" s="417"/>
      <c r="B156" s="417"/>
      <c r="C156" s="417"/>
      <c r="D156" s="417"/>
      <c r="E156" s="417"/>
      <c r="F156" s="417"/>
      <c r="G156" s="417"/>
      <c r="H156" s="417"/>
      <c r="I156" s="417"/>
      <c r="J156" s="417"/>
      <c r="K156" s="417"/>
      <c r="L156" s="417"/>
      <c r="M156" s="417"/>
      <c r="N156" s="417"/>
      <c r="O156" s="417"/>
      <c r="P156" s="417"/>
      <c r="Q156" s="417"/>
      <c r="R156" s="417"/>
      <c r="S156" s="417"/>
      <c r="T156" s="417"/>
      <c r="U156" s="471"/>
      <c r="V156" s="471"/>
      <c r="W156" s="417"/>
      <c r="X156" s="471"/>
      <c r="Y156" s="471"/>
      <c r="Z156" s="471"/>
      <c r="AA156" s="471"/>
      <c r="AB156" s="471"/>
      <c r="AC156" s="471"/>
      <c r="AD156" s="474"/>
    </row>
    <row r="157" spans="1:30" x14ac:dyDescent="0.25">
      <c r="A157" s="417"/>
      <c r="B157" s="417"/>
      <c r="C157" s="417"/>
      <c r="D157" s="417"/>
      <c r="E157" s="417"/>
      <c r="F157" s="417"/>
      <c r="G157" s="417"/>
      <c r="H157" s="417"/>
      <c r="I157" s="417"/>
      <c r="J157" s="417"/>
      <c r="K157" s="417"/>
      <c r="L157" s="417"/>
      <c r="M157" s="417"/>
      <c r="N157" s="417"/>
      <c r="O157" s="417"/>
      <c r="P157" s="417"/>
      <c r="Q157" s="417"/>
      <c r="R157" s="417"/>
      <c r="S157" s="417"/>
      <c r="T157" s="417"/>
      <c r="U157" s="471"/>
      <c r="V157" s="471"/>
      <c r="W157" s="417"/>
      <c r="X157" s="471"/>
      <c r="Y157" s="471"/>
      <c r="Z157" s="471"/>
      <c r="AA157" s="471"/>
      <c r="AB157" s="471"/>
      <c r="AC157" s="471"/>
      <c r="AD157" s="474"/>
    </row>
    <row r="158" spans="1:30" x14ac:dyDescent="0.25">
      <c r="A158" s="417"/>
      <c r="B158" s="417"/>
      <c r="C158" s="417"/>
      <c r="D158" s="417"/>
      <c r="E158" s="417"/>
      <c r="F158" s="417"/>
      <c r="G158" s="417"/>
      <c r="H158" s="417"/>
      <c r="I158" s="417"/>
      <c r="J158" s="417"/>
      <c r="K158" s="417"/>
      <c r="L158" s="417"/>
      <c r="M158" s="417"/>
      <c r="N158" s="417"/>
      <c r="O158" s="417"/>
      <c r="P158" s="417"/>
      <c r="Q158" s="417"/>
      <c r="R158" s="417"/>
      <c r="S158" s="417"/>
      <c r="T158" s="417"/>
      <c r="U158" s="471"/>
      <c r="V158" s="471"/>
      <c r="W158" s="417"/>
      <c r="X158" s="471"/>
      <c r="Y158" s="471"/>
      <c r="Z158" s="471"/>
      <c r="AA158" s="471"/>
      <c r="AB158" s="471"/>
      <c r="AC158" s="471"/>
      <c r="AD158" s="474"/>
    </row>
    <row r="159" spans="1:30" x14ac:dyDescent="0.25">
      <c r="A159" s="417"/>
      <c r="B159" s="417"/>
      <c r="C159" s="417"/>
      <c r="D159" s="417"/>
      <c r="E159" s="417"/>
      <c r="F159" s="417"/>
      <c r="G159" s="417"/>
      <c r="H159" s="417"/>
      <c r="I159" s="417"/>
      <c r="J159" s="417"/>
      <c r="K159" s="417"/>
      <c r="L159" s="417"/>
      <c r="M159" s="417"/>
      <c r="N159" s="417"/>
      <c r="O159" s="417"/>
      <c r="P159" s="417"/>
      <c r="Q159" s="417"/>
      <c r="R159" s="417"/>
      <c r="S159" s="417"/>
      <c r="T159" s="417"/>
      <c r="U159" s="471"/>
      <c r="V159" s="471"/>
      <c r="W159" s="417"/>
      <c r="X159" s="471"/>
      <c r="Y159" s="471"/>
      <c r="Z159" s="471"/>
      <c r="AA159" s="471"/>
      <c r="AB159" s="471"/>
      <c r="AC159" s="471"/>
      <c r="AD159" s="474"/>
    </row>
    <row r="160" spans="1:30" x14ac:dyDescent="0.25">
      <c r="A160" s="417"/>
      <c r="B160" s="417"/>
      <c r="C160" s="417"/>
      <c r="D160" s="417"/>
      <c r="E160" s="417"/>
      <c r="F160" s="417"/>
      <c r="G160" s="417"/>
      <c r="H160" s="417"/>
      <c r="I160" s="417"/>
      <c r="J160" s="417"/>
      <c r="K160" s="417"/>
      <c r="L160" s="417"/>
      <c r="M160" s="417"/>
      <c r="N160" s="417"/>
      <c r="O160" s="417"/>
      <c r="P160" s="417"/>
      <c r="Q160" s="417"/>
      <c r="R160" s="417"/>
      <c r="S160" s="417"/>
      <c r="T160" s="417"/>
      <c r="U160" s="471"/>
      <c r="V160" s="471"/>
      <c r="W160" s="417"/>
      <c r="X160" s="471"/>
      <c r="Y160" s="471"/>
      <c r="Z160" s="471"/>
      <c r="AA160" s="471"/>
      <c r="AB160" s="471"/>
      <c r="AC160" s="471"/>
      <c r="AD160" s="474"/>
    </row>
    <row r="161" spans="1:30" x14ac:dyDescent="0.25">
      <c r="A161" s="417"/>
      <c r="B161" s="417"/>
      <c r="C161" s="417"/>
      <c r="D161" s="417"/>
      <c r="E161" s="417"/>
      <c r="F161" s="417"/>
      <c r="G161" s="417"/>
      <c r="H161" s="417"/>
      <c r="I161" s="417"/>
      <c r="J161" s="417"/>
      <c r="K161" s="417"/>
      <c r="L161" s="417"/>
      <c r="M161" s="417"/>
      <c r="N161" s="417"/>
      <c r="O161" s="417"/>
      <c r="P161" s="417"/>
      <c r="Q161" s="417"/>
      <c r="R161" s="417"/>
      <c r="S161" s="417"/>
      <c r="T161" s="417"/>
      <c r="U161" s="471"/>
      <c r="V161" s="471"/>
      <c r="W161" s="417"/>
      <c r="X161" s="471"/>
      <c r="Y161" s="471"/>
      <c r="Z161" s="471"/>
      <c r="AA161" s="471"/>
      <c r="AB161" s="471"/>
      <c r="AC161" s="471"/>
      <c r="AD161" s="474"/>
    </row>
    <row r="162" spans="1:30" x14ac:dyDescent="0.25">
      <c r="A162" s="417"/>
      <c r="B162" s="417"/>
      <c r="C162" s="417"/>
      <c r="D162" s="417"/>
      <c r="E162" s="417"/>
      <c r="F162" s="417"/>
      <c r="G162" s="417"/>
      <c r="H162" s="417"/>
      <c r="I162" s="417"/>
      <c r="J162" s="417"/>
      <c r="K162" s="417"/>
      <c r="L162" s="417"/>
      <c r="M162" s="417"/>
      <c r="N162" s="417"/>
      <c r="O162" s="417"/>
      <c r="P162" s="417"/>
      <c r="Q162" s="417"/>
      <c r="R162" s="417"/>
      <c r="S162" s="417"/>
      <c r="T162" s="417"/>
      <c r="U162" s="471"/>
      <c r="V162" s="471"/>
      <c r="W162" s="417"/>
      <c r="X162" s="471"/>
      <c r="Y162" s="471"/>
      <c r="Z162" s="471"/>
      <c r="AA162" s="471"/>
      <c r="AB162" s="471"/>
      <c r="AC162" s="471"/>
      <c r="AD162" s="474"/>
    </row>
    <row r="163" spans="1:30" x14ac:dyDescent="0.25">
      <c r="A163" s="417"/>
      <c r="B163" s="417"/>
      <c r="C163" s="417"/>
      <c r="D163" s="417"/>
      <c r="E163" s="417"/>
      <c r="F163" s="417"/>
      <c r="G163" s="417"/>
      <c r="H163" s="417"/>
      <c r="I163" s="417"/>
      <c r="J163" s="417"/>
      <c r="K163" s="417"/>
      <c r="L163" s="417"/>
      <c r="M163" s="417"/>
      <c r="N163" s="417"/>
      <c r="O163" s="417"/>
      <c r="P163" s="417"/>
      <c r="Q163" s="417"/>
      <c r="R163" s="417"/>
      <c r="S163" s="417"/>
      <c r="T163" s="417"/>
      <c r="U163" s="471"/>
      <c r="V163" s="471"/>
      <c r="W163" s="417"/>
      <c r="X163" s="471"/>
      <c r="Y163" s="471"/>
      <c r="Z163" s="471"/>
      <c r="AA163" s="471"/>
      <c r="AB163" s="471"/>
      <c r="AC163" s="471"/>
      <c r="AD163" s="474"/>
    </row>
    <row r="164" spans="1:30" x14ac:dyDescent="0.25">
      <c r="A164" s="417"/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71"/>
      <c r="V164" s="471"/>
      <c r="W164" s="417"/>
      <c r="X164" s="471"/>
      <c r="Y164" s="471"/>
      <c r="Z164" s="471"/>
      <c r="AA164" s="471"/>
      <c r="AB164" s="471"/>
      <c r="AC164" s="471"/>
      <c r="AD164" s="474"/>
    </row>
    <row r="165" spans="1:30" x14ac:dyDescent="0.25">
      <c r="A165" s="417"/>
      <c r="B165" s="417"/>
      <c r="C165" s="417"/>
      <c r="D165" s="417"/>
      <c r="E165" s="417"/>
      <c r="F165" s="417"/>
      <c r="G165" s="417"/>
      <c r="H165" s="417"/>
      <c r="I165" s="417"/>
      <c r="J165" s="417"/>
      <c r="K165" s="417"/>
      <c r="L165" s="417"/>
      <c r="M165" s="417"/>
      <c r="N165" s="417"/>
      <c r="O165" s="417"/>
      <c r="P165" s="417"/>
      <c r="Q165" s="417"/>
      <c r="R165" s="417"/>
      <c r="S165" s="417"/>
      <c r="T165" s="417"/>
      <c r="U165" s="471"/>
      <c r="V165" s="471"/>
      <c r="W165" s="417"/>
      <c r="X165" s="471"/>
      <c r="Y165" s="471"/>
      <c r="Z165" s="471"/>
      <c r="AA165" s="471"/>
      <c r="AB165" s="471"/>
      <c r="AC165" s="471"/>
      <c r="AD165" s="474"/>
    </row>
    <row r="166" spans="1:30" x14ac:dyDescent="0.25">
      <c r="A166" s="417"/>
      <c r="B166" s="417"/>
      <c r="C166" s="417"/>
      <c r="D166" s="417"/>
      <c r="E166" s="417"/>
      <c r="F166" s="417"/>
      <c r="G166" s="417"/>
      <c r="H166" s="417"/>
      <c r="I166" s="417"/>
      <c r="J166" s="417"/>
      <c r="K166" s="417"/>
      <c r="L166" s="417"/>
      <c r="M166" s="417"/>
      <c r="N166" s="417"/>
      <c r="O166" s="417"/>
      <c r="P166" s="417"/>
      <c r="Q166" s="417"/>
      <c r="R166" s="417"/>
      <c r="S166" s="417"/>
      <c r="T166" s="417"/>
      <c r="U166" s="471"/>
      <c r="V166" s="471"/>
      <c r="W166" s="417"/>
      <c r="X166" s="471"/>
      <c r="Y166" s="471"/>
      <c r="Z166" s="471"/>
      <c r="AA166" s="471"/>
      <c r="AB166" s="471"/>
      <c r="AC166" s="471"/>
      <c r="AD166" s="474"/>
    </row>
    <row r="167" spans="1:30" x14ac:dyDescent="0.25">
      <c r="A167" s="417"/>
      <c r="B167" s="417"/>
      <c r="C167" s="417"/>
      <c r="D167" s="417"/>
      <c r="E167" s="417"/>
      <c r="F167" s="417"/>
      <c r="G167" s="417"/>
      <c r="H167" s="417"/>
      <c r="I167" s="417"/>
      <c r="J167" s="417"/>
      <c r="K167" s="417"/>
      <c r="L167" s="417"/>
      <c r="M167" s="417"/>
      <c r="N167" s="417"/>
      <c r="O167" s="417"/>
      <c r="P167" s="417"/>
      <c r="Q167" s="417"/>
      <c r="R167" s="417"/>
      <c r="S167" s="417"/>
      <c r="T167" s="417"/>
      <c r="U167" s="471"/>
      <c r="V167" s="471"/>
      <c r="W167" s="417"/>
      <c r="X167" s="471"/>
      <c r="Y167" s="471"/>
      <c r="Z167" s="471"/>
      <c r="AA167" s="471"/>
      <c r="AB167" s="471"/>
      <c r="AC167" s="471"/>
      <c r="AD167" s="474"/>
    </row>
    <row r="168" spans="1:30" x14ac:dyDescent="0.25">
      <c r="A168" s="417"/>
      <c r="B168" s="417"/>
      <c r="C168" s="417"/>
      <c r="D168" s="417"/>
      <c r="E168" s="417"/>
      <c r="F168" s="417"/>
      <c r="G168" s="417"/>
      <c r="H168" s="417"/>
      <c r="I168" s="417"/>
      <c r="J168" s="417"/>
      <c r="K168" s="417"/>
      <c r="L168" s="417"/>
      <c r="M168" s="417"/>
      <c r="N168" s="417"/>
      <c r="O168" s="417"/>
      <c r="P168" s="417"/>
      <c r="Q168" s="417"/>
      <c r="R168" s="417"/>
      <c r="S168" s="417"/>
      <c r="T168" s="417"/>
      <c r="U168" s="471"/>
      <c r="V168" s="471"/>
      <c r="W168" s="417"/>
      <c r="X168" s="471"/>
      <c r="Y168" s="471"/>
      <c r="Z168" s="471"/>
      <c r="AA168" s="471"/>
      <c r="AB168" s="471"/>
      <c r="AC168" s="471"/>
      <c r="AD168" s="474"/>
    </row>
    <row r="169" spans="1:30" x14ac:dyDescent="0.25">
      <c r="A169" s="417"/>
      <c r="B169" s="417"/>
      <c r="C169" s="417"/>
      <c r="D169" s="417"/>
      <c r="E169" s="417"/>
      <c r="F169" s="417"/>
      <c r="G169" s="417"/>
      <c r="H169" s="417"/>
      <c r="I169" s="417"/>
      <c r="J169" s="417"/>
      <c r="K169" s="417"/>
      <c r="L169" s="417"/>
      <c r="M169" s="417"/>
      <c r="N169" s="417"/>
      <c r="O169" s="417"/>
      <c r="P169" s="417"/>
      <c r="Q169" s="417"/>
      <c r="R169" s="417"/>
      <c r="S169" s="417"/>
      <c r="T169" s="417"/>
      <c r="U169" s="471"/>
      <c r="V169" s="471"/>
      <c r="W169" s="417"/>
      <c r="X169" s="471"/>
      <c r="Y169" s="471"/>
      <c r="Z169" s="471"/>
      <c r="AA169" s="471"/>
      <c r="AB169" s="471"/>
      <c r="AC169" s="471"/>
      <c r="AD169" s="474"/>
    </row>
    <row r="170" spans="1:30" x14ac:dyDescent="0.25">
      <c r="A170" s="417"/>
      <c r="B170" s="417"/>
      <c r="C170" s="417"/>
      <c r="D170" s="417"/>
      <c r="E170" s="417"/>
      <c r="F170" s="417"/>
      <c r="G170" s="417"/>
      <c r="H170" s="417"/>
      <c r="I170" s="417"/>
      <c r="J170" s="417"/>
      <c r="K170" s="417"/>
      <c r="L170" s="417"/>
      <c r="M170" s="417"/>
      <c r="N170" s="417"/>
      <c r="O170" s="417"/>
      <c r="P170" s="417"/>
      <c r="Q170" s="417"/>
      <c r="R170" s="417"/>
      <c r="S170" s="417"/>
      <c r="T170" s="417"/>
      <c r="U170" s="471"/>
      <c r="V170" s="471"/>
      <c r="W170" s="417"/>
      <c r="X170" s="471"/>
      <c r="Y170" s="471"/>
      <c r="Z170" s="471"/>
      <c r="AA170" s="471"/>
      <c r="AB170" s="471"/>
      <c r="AC170" s="471"/>
      <c r="AD170" s="474"/>
    </row>
    <row r="171" spans="1:30" x14ac:dyDescent="0.25">
      <c r="A171" s="417"/>
      <c r="B171" s="417"/>
      <c r="C171" s="417"/>
      <c r="D171" s="417"/>
      <c r="E171" s="417"/>
      <c r="F171" s="417"/>
      <c r="G171" s="417"/>
      <c r="H171" s="417"/>
      <c r="I171" s="417"/>
      <c r="J171" s="417"/>
      <c r="K171" s="417"/>
      <c r="L171" s="417"/>
      <c r="M171" s="417"/>
      <c r="N171" s="417"/>
      <c r="O171" s="417"/>
      <c r="P171" s="417"/>
      <c r="Q171" s="417"/>
      <c r="R171" s="417"/>
      <c r="S171" s="417"/>
      <c r="T171" s="417"/>
      <c r="U171" s="471"/>
      <c r="V171" s="471"/>
      <c r="W171" s="417"/>
      <c r="X171" s="471"/>
      <c r="Y171" s="471"/>
      <c r="Z171" s="471"/>
      <c r="AA171" s="471"/>
      <c r="AB171" s="471"/>
      <c r="AC171" s="471"/>
      <c r="AD171" s="474"/>
    </row>
    <row r="172" spans="1:30" x14ac:dyDescent="0.25">
      <c r="A172" s="417"/>
      <c r="B172" s="417"/>
      <c r="C172" s="417"/>
      <c r="D172" s="417"/>
      <c r="E172" s="417"/>
      <c r="F172" s="417"/>
      <c r="G172" s="417"/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71"/>
      <c r="V172" s="471"/>
      <c r="W172" s="417"/>
      <c r="X172" s="471"/>
      <c r="Y172" s="471"/>
      <c r="Z172" s="471"/>
      <c r="AA172" s="471"/>
      <c r="AB172" s="471"/>
      <c r="AC172" s="471"/>
      <c r="AD172" s="474"/>
    </row>
    <row r="173" spans="1:30" x14ac:dyDescent="0.25">
      <c r="A173" s="417"/>
      <c r="B173" s="417"/>
      <c r="C173" s="417"/>
      <c r="D173" s="417"/>
      <c r="E173" s="417"/>
      <c r="F173" s="417"/>
      <c r="G173" s="417"/>
      <c r="H173" s="417"/>
      <c r="I173" s="417"/>
      <c r="J173" s="417"/>
      <c r="K173" s="417"/>
      <c r="L173" s="417"/>
      <c r="M173" s="417"/>
      <c r="N173" s="417"/>
      <c r="O173" s="417"/>
      <c r="P173" s="417"/>
      <c r="Q173" s="417"/>
      <c r="R173" s="417"/>
      <c r="S173" s="417"/>
      <c r="T173" s="417"/>
      <c r="U173" s="471"/>
      <c r="V173" s="471"/>
      <c r="W173" s="417"/>
      <c r="X173" s="471"/>
      <c r="Y173" s="471"/>
      <c r="Z173" s="471"/>
      <c r="AA173" s="471"/>
      <c r="AB173" s="471"/>
      <c r="AC173" s="471"/>
      <c r="AD173" s="474"/>
    </row>
    <row r="174" spans="1:30" x14ac:dyDescent="0.25">
      <c r="A174" s="417"/>
      <c r="B174" s="417"/>
      <c r="C174" s="417"/>
      <c r="D174" s="417"/>
      <c r="E174" s="417"/>
      <c r="F174" s="417"/>
      <c r="G174" s="417"/>
      <c r="H174" s="417"/>
      <c r="I174" s="417"/>
      <c r="J174" s="417"/>
      <c r="K174" s="417"/>
      <c r="L174" s="417"/>
      <c r="M174" s="417"/>
      <c r="N174" s="417"/>
      <c r="O174" s="417"/>
      <c r="P174" s="417"/>
      <c r="Q174" s="417"/>
      <c r="R174" s="417"/>
      <c r="S174" s="417"/>
      <c r="T174" s="417"/>
      <c r="U174" s="471"/>
      <c r="V174" s="471"/>
      <c r="W174" s="417"/>
      <c r="X174" s="471"/>
      <c r="Y174" s="471"/>
      <c r="Z174" s="471"/>
      <c r="AA174" s="471"/>
      <c r="AB174" s="471"/>
      <c r="AC174" s="471"/>
      <c r="AD174" s="474"/>
    </row>
    <row r="175" spans="1:30" x14ac:dyDescent="0.25">
      <c r="A175" s="417"/>
      <c r="B175" s="417"/>
      <c r="C175" s="417"/>
      <c r="D175" s="417"/>
      <c r="E175" s="417"/>
      <c r="F175" s="417"/>
      <c r="G175" s="417"/>
      <c r="H175" s="417"/>
      <c r="I175" s="417"/>
      <c r="J175" s="417"/>
      <c r="K175" s="417"/>
      <c r="L175" s="417"/>
      <c r="M175" s="417"/>
      <c r="N175" s="417"/>
      <c r="O175" s="417"/>
      <c r="P175" s="417"/>
      <c r="Q175" s="417"/>
      <c r="R175" s="417"/>
      <c r="S175" s="417"/>
      <c r="T175" s="417"/>
      <c r="U175" s="471"/>
      <c r="V175" s="471"/>
      <c r="W175" s="417"/>
      <c r="X175" s="471"/>
      <c r="Y175" s="471"/>
      <c r="Z175" s="471"/>
      <c r="AA175" s="471"/>
      <c r="AB175" s="471"/>
      <c r="AC175" s="471"/>
      <c r="AD175" s="474"/>
    </row>
    <row r="176" spans="1:30" x14ac:dyDescent="0.25">
      <c r="A176" s="417"/>
      <c r="B176" s="417"/>
      <c r="C176" s="417"/>
      <c r="D176" s="417"/>
      <c r="E176" s="417"/>
      <c r="F176" s="417"/>
      <c r="G176" s="417"/>
      <c r="H176" s="417"/>
      <c r="I176" s="417"/>
      <c r="J176" s="417"/>
      <c r="K176" s="417"/>
      <c r="L176" s="417"/>
      <c r="M176" s="417"/>
      <c r="N176" s="417"/>
      <c r="O176" s="417"/>
      <c r="P176" s="417"/>
      <c r="Q176" s="417"/>
      <c r="R176" s="417"/>
      <c r="S176" s="417"/>
      <c r="T176" s="417"/>
      <c r="U176" s="471"/>
      <c r="V176" s="471"/>
      <c r="W176" s="417"/>
      <c r="X176" s="471"/>
      <c r="Y176" s="471"/>
      <c r="Z176" s="471"/>
      <c r="AA176" s="471"/>
      <c r="AB176" s="471"/>
      <c r="AC176" s="471"/>
      <c r="AD176" s="474"/>
    </row>
    <row r="177" spans="1:30" x14ac:dyDescent="0.25">
      <c r="A177" s="417"/>
      <c r="B177" s="417"/>
      <c r="C177" s="417"/>
      <c r="D177" s="417"/>
      <c r="E177" s="417"/>
      <c r="F177" s="417"/>
      <c r="G177" s="417"/>
      <c r="H177" s="417"/>
      <c r="I177" s="417"/>
      <c r="J177" s="417"/>
      <c r="K177" s="417"/>
      <c r="L177" s="417"/>
      <c r="M177" s="417"/>
      <c r="N177" s="417"/>
      <c r="O177" s="417"/>
      <c r="P177" s="417"/>
      <c r="Q177" s="417"/>
      <c r="R177" s="417"/>
      <c r="S177" s="417"/>
      <c r="T177" s="417"/>
      <c r="U177" s="471"/>
      <c r="V177" s="471"/>
      <c r="W177" s="417"/>
      <c r="X177" s="471"/>
      <c r="Y177" s="471"/>
      <c r="Z177" s="471"/>
      <c r="AA177" s="471"/>
      <c r="AB177" s="471"/>
      <c r="AC177" s="471"/>
      <c r="AD177" s="474"/>
    </row>
    <row r="178" spans="1:30" x14ac:dyDescent="0.25">
      <c r="A178" s="417"/>
      <c r="B178" s="417"/>
      <c r="C178" s="417"/>
      <c r="D178" s="417"/>
      <c r="E178" s="417"/>
      <c r="F178" s="417"/>
      <c r="G178" s="417"/>
      <c r="H178" s="417"/>
      <c r="I178" s="417"/>
      <c r="J178" s="417"/>
      <c r="K178" s="417"/>
      <c r="L178" s="417"/>
      <c r="M178" s="417"/>
      <c r="N178" s="417"/>
      <c r="O178" s="417"/>
      <c r="P178" s="417"/>
      <c r="Q178" s="417"/>
      <c r="R178" s="417"/>
      <c r="S178" s="417"/>
      <c r="T178" s="417"/>
      <c r="U178" s="471"/>
      <c r="V178" s="471"/>
      <c r="W178" s="417"/>
      <c r="X178" s="471"/>
      <c r="Y178" s="471"/>
      <c r="Z178" s="471"/>
      <c r="AA178" s="471"/>
      <c r="AB178" s="471"/>
      <c r="AC178" s="471"/>
      <c r="AD178" s="474"/>
    </row>
    <row r="179" spans="1:30" x14ac:dyDescent="0.25">
      <c r="A179" s="417"/>
      <c r="B179" s="417"/>
      <c r="C179" s="417"/>
      <c r="D179" s="417"/>
      <c r="E179" s="417"/>
      <c r="F179" s="417"/>
      <c r="G179" s="417"/>
      <c r="H179" s="417"/>
      <c r="I179" s="417"/>
      <c r="J179" s="417"/>
      <c r="K179" s="417"/>
      <c r="L179" s="417"/>
      <c r="M179" s="417"/>
      <c r="N179" s="417"/>
      <c r="O179" s="417"/>
      <c r="P179" s="417"/>
      <c r="Q179" s="417"/>
      <c r="R179" s="417"/>
      <c r="S179" s="417"/>
      <c r="T179" s="417"/>
      <c r="U179" s="471"/>
      <c r="V179" s="471"/>
      <c r="W179" s="417"/>
      <c r="X179" s="471"/>
      <c r="Y179" s="471"/>
      <c r="Z179" s="471"/>
      <c r="AA179" s="471"/>
      <c r="AB179" s="471"/>
      <c r="AC179" s="471"/>
      <c r="AD179" s="474"/>
    </row>
    <row r="180" spans="1:30" x14ac:dyDescent="0.25">
      <c r="A180" s="417"/>
      <c r="B180" s="417"/>
      <c r="C180" s="417"/>
      <c r="D180" s="417"/>
      <c r="E180" s="417"/>
      <c r="F180" s="417"/>
      <c r="G180" s="417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71"/>
      <c r="V180" s="471"/>
      <c r="W180" s="417"/>
      <c r="X180" s="471"/>
      <c r="Y180" s="471"/>
      <c r="Z180" s="471"/>
      <c r="AA180" s="471"/>
      <c r="AB180" s="471"/>
      <c r="AC180" s="471"/>
      <c r="AD180" s="474"/>
    </row>
    <row r="181" spans="1:30" x14ac:dyDescent="0.25">
      <c r="A181" s="417"/>
      <c r="B181" s="417"/>
      <c r="C181" s="417"/>
      <c r="D181" s="417"/>
      <c r="E181" s="417"/>
      <c r="F181" s="417"/>
      <c r="G181" s="417"/>
      <c r="H181" s="417"/>
      <c r="I181" s="417"/>
      <c r="J181" s="417"/>
      <c r="K181" s="417"/>
      <c r="L181" s="417"/>
      <c r="M181" s="417"/>
      <c r="N181" s="417"/>
      <c r="O181" s="417"/>
      <c r="P181" s="417"/>
      <c r="Q181" s="417"/>
      <c r="R181" s="417"/>
      <c r="S181" s="417"/>
      <c r="T181" s="417"/>
      <c r="U181" s="471"/>
      <c r="V181" s="471"/>
      <c r="W181" s="417"/>
      <c r="X181" s="471"/>
      <c r="Y181" s="471"/>
      <c r="Z181" s="471"/>
      <c r="AA181" s="471"/>
      <c r="AB181" s="471"/>
      <c r="AC181" s="471"/>
      <c r="AD181" s="474"/>
    </row>
    <row r="182" spans="1:30" x14ac:dyDescent="0.25">
      <c r="A182" s="417"/>
      <c r="B182" s="417"/>
      <c r="C182" s="417"/>
      <c r="D182" s="417"/>
      <c r="E182" s="417"/>
      <c r="F182" s="417"/>
      <c r="G182" s="417"/>
      <c r="H182" s="417"/>
      <c r="I182" s="417"/>
      <c r="J182" s="417"/>
      <c r="K182" s="417"/>
      <c r="L182" s="417"/>
      <c r="M182" s="417"/>
      <c r="N182" s="417"/>
      <c r="O182" s="417"/>
      <c r="P182" s="417"/>
      <c r="Q182" s="417"/>
      <c r="R182" s="417"/>
      <c r="S182" s="417"/>
      <c r="T182" s="417"/>
      <c r="U182" s="471"/>
      <c r="V182" s="471"/>
      <c r="W182" s="417"/>
      <c r="X182" s="471"/>
      <c r="Y182" s="471"/>
      <c r="Z182" s="471"/>
      <c r="AA182" s="471"/>
      <c r="AB182" s="471"/>
      <c r="AC182" s="471"/>
      <c r="AD182" s="474"/>
    </row>
    <row r="183" spans="1:30" x14ac:dyDescent="0.25">
      <c r="A183" s="417"/>
      <c r="B183" s="417"/>
      <c r="C183" s="417"/>
      <c r="D183" s="417"/>
      <c r="E183" s="417"/>
      <c r="F183" s="417"/>
      <c r="G183" s="417"/>
      <c r="H183" s="417"/>
      <c r="I183" s="417"/>
      <c r="J183" s="417"/>
      <c r="K183" s="417"/>
      <c r="L183" s="417"/>
      <c r="M183" s="417"/>
      <c r="N183" s="417"/>
      <c r="O183" s="417"/>
      <c r="P183" s="417"/>
      <c r="Q183" s="417"/>
      <c r="R183" s="417"/>
      <c r="S183" s="417"/>
      <c r="T183" s="417"/>
      <c r="U183" s="471"/>
      <c r="V183" s="471"/>
      <c r="W183" s="417"/>
      <c r="X183" s="471"/>
      <c r="Y183" s="471"/>
      <c r="Z183" s="471"/>
      <c r="AA183" s="471"/>
      <c r="AB183" s="471"/>
      <c r="AC183" s="471"/>
      <c r="AD183" s="474"/>
    </row>
    <row r="184" spans="1:30" x14ac:dyDescent="0.25">
      <c r="A184" s="417"/>
      <c r="B184" s="417"/>
      <c r="C184" s="417"/>
      <c r="D184" s="417"/>
      <c r="E184" s="417"/>
      <c r="F184" s="417"/>
      <c r="G184" s="417"/>
      <c r="H184" s="417"/>
      <c r="I184" s="417"/>
      <c r="J184" s="417"/>
      <c r="K184" s="417"/>
      <c r="L184" s="417"/>
      <c r="M184" s="417"/>
      <c r="N184" s="417"/>
      <c r="O184" s="417"/>
      <c r="P184" s="417"/>
      <c r="Q184" s="417"/>
      <c r="R184" s="417"/>
      <c r="S184" s="417"/>
      <c r="T184" s="417"/>
      <c r="U184" s="471"/>
      <c r="V184" s="471"/>
      <c r="W184" s="417"/>
      <c r="X184" s="471"/>
      <c r="Y184" s="471"/>
      <c r="Z184" s="471"/>
      <c r="AA184" s="471"/>
      <c r="AB184" s="471"/>
      <c r="AC184" s="471"/>
      <c r="AD184" s="474"/>
    </row>
    <row r="185" spans="1:30" x14ac:dyDescent="0.25">
      <c r="A185" s="417"/>
      <c r="B185" s="417"/>
      <c r="C185" s="417"/>
      <c r="D185" s="417"/>
      <c r="E185" s="417"/>
      <c r="F185" s="417"/>
      <c r="G185" s="417"/>
      <c r="H185" s="417"/>
      <c r="I185" s="417"/>
      <c r="J185" s="417"/>
      <c r="K185" s="417"/>
      <c r="L185" s="417"/>
      <c r="M185" s="417"/>
      <c r="N185" s="417"/>
      <c r="O185" s="417"/>
      <c r="P185" s="417"/>
      <c r="Q185" s="417"/>
      <c r="R185" s="417"/>
      <c r="S185" s="417"/>
      <c r="T185" s="417"/>
      <c r="U185" s="471"/>
      <c r="V185" s="471"/>
      <c r="W185" s="417"/>
      <c r="X185" s="471"/>
      <c r="Y185" s="471"/>
      <c r="Z185" s="471"/>
      <c r="AA185" s="471"/>
      <c r="AB185" s="471"/>
      <c r="AC185" s="471"/>
      <c r="AD185" s="474"/>
    </row>
    <row r="186" spans="1:30" x14ac:dyDescent="0.25">
      <c r="A186" s="417"/>
      <c r="B186" s="417"/>
      <c r="C186" s="417"/>
      <c r="D186" s="417"/>
      <c r="E186" s="417"/>
      <c r="F186" s="417"/>
      <c r="G186" s="417"/>
      <c r="H186" s="417"/>
      <c r="I186" s="417"/>
      <c r="J186" s="417"/>
      <c r="K186" s="417"/>
      <c r="L186" s="417"/>
      <c r="M186" s="417"/>
      <c r="N186" s="417"/>
      <c r="O186" s="417"/>
      <c r="P186" s="417"/>
      <c r="Q186" s="417"/>
      <c r="R186" s="417"/>
      <c r="S186" s="417"/>
      <c r="T186" s="417"/>
      <c r="U186" s="471"/>
      <c r="V186" s="471"/>
      <c r="W186" s="417"/>
      <c r="X186" s="471"/>
      <c r="Y186" s="471"/>
      <c r="Z186" s="471"/>
      <c r="AA186" s="471"/>
      <c r="AB186" s="471"/>
      <c r="AC186" s="471"/>
      <c r="AD186" s="474"/>
    </row>
    <row r="187" spans="1:30" x14ac:dyDescent="0.25">
      <c r="A187" s="417"/>
      <c r="B187" s="417"/>
      <c r="C187" s="417"/>
      <c r="D187" s="417"/>
      <c r="E187" s="417"/>
      <c r="F187" s="417"/>
      <c r="G187" s="417"/>
      <c r="H187" s="417"/>
      <c r="I187" s="417"/>
      <c r="J187" s="417"/>
      <c r="K187" s="417"/>
      <c r="L187" s="417"/>
      <c r="M187" s="417"/>
      <c r="N187" s="417"/>
      <c r="O187" s="417"/>
      <c r="P187" s="417"/>
      <c r="Q187" s="417"/>
      <c r="R187" s="417"/>
      <c r="S187" s="417"/>
      <c r="T187" s="417"/>
      <c r="U187" s="471"/>
      <c r="V187" s="471"/>
      <c r="W187" s="417"/>
      <c r="X187" s="471"/>
      <c r="Y187" s="471"/>
      <c r="Z187" s="471"/>
      <c r="AA187" s="471"/>
      <c r="AB187" s="471"/>
      <c r="AC187" s="471"/>
      <c r="AD187" s="474"/>
    </row>
    <row r="188" spans="1:30" x14ac:dyDescent="0.25">
      <c r="B188" s="417"/>
      <c r="C188" s="417"/>
      <c r="D188" s="417"/>
      <c r="E188" s="417"/>
      <c r="F188" s="417"/>
      <c r="G188" s="417"/>
      <c r="H188" s="417"/>
      <c r="I188" s="417"/>
      <c r="J188" s="417"/>
      <c r="K188" s="417"/>
      <c r="L188" s="417"/>
      <c r="M188" s="417"/>
      <c r="N188" s="417"/>
      <c r="O188" s="417"/>
      <c r="P188" s="417"/>
      <c r="Q188" s="417"/>
      <c r="R188" s="417"/>
      <c r="S188" s="417"/>
      <c r="T188" s="417"/>
      <c r="U188" s="471"/>
      <c r="V188" s="471"/>
      <c r="W188" s="417"/>
      <c r="X188" s="471"/>
      <c r="Y188" s="471"/>
      <c r="Z188" s="471"/>
      <c r="AA188" s="471"/>
      <c r="AB188" s="471"/>
      <c r="AC188" s="471"/>
      <c r="AD188" s="474"/>
    </row>
    <row r="189" spans="1:30" x14ac:dyDescent="0.25">
      <c r="B189" s="417"/>
      <c r="C189" s="417"/>
      <c r="D189" s="417"/>
      <c r="E189" s="417"/>
      <c r="F189" s="417"/>
      <c r="G189" s="417"/>
      <c r="H189" s="417"/>
      <c r="I189" s="417"/>
      <c r="J189" s="417"/>
      <c r="K189" s="417"/>
      <c r="L189" s="417"/>
      <c r="M189" s="417"/>
      <c r="N189" s="417"/>
      <c r="O189" s="417"/>
      <c r="P189" s="417"/>
      <c r="Q189" s="417"/>
      <c r="R189" s="417"/>
      <c r="S189" s="417"/>
      <c r="T189" s="417"/>
      <c r="U189" s="471"/>
      <c r="V189" s="471"/>
      <c r="W189" s="417"/>
      <c r="X189" s="471"/>
      <c r="Y189" s="471"/>
      <c r="Z189" s="471"/>
      <c r="AA189" s="471"/>
      <c r="AB189" s="471"/>
      <c r="AC189" s="471"/>
      <c r="AD189" s="474"/>
    </row>
    <row r="190" spans="1:30" x14ac:dyDescent="0.25">
      <c r="B190" s="417"/>
      <c r="C190" s="417"/>
      <c r="D190" s="417"/>
      <c r="E190" s="417"/>
      <c r="F190" s="417"/>
      <c r="G190" s="417"/>
      <c r="H190" s="417"/>
      <c r="I190" s="417"/>
      <c r="J190" s="417"/>
      <c r="K190" s="417"/>
      <c r="L190" s="417"/>
      <c r="M190" s="417"/>
      <c r="N190" s="417"/>
      <c r="O190" s="417"/>
      <c r="P190" s="417"/>
      <c r="Q190" s="417"/>
      <c r="R190" s="417"/>
      <c r="S190" s="417"/>
      <c r="T190" s="417"/>
      <c r="U190" s="471"/>
      <c r="V190" s="471"/>
      <c r="W190" s="417"/>
      <c r="X190" s="471"/>
      <c r="Y190" s="471"/>
      <c r="Z190" s="471"/>
      <c r="AA190" s="471"/>
      <c r="AB190" s="471"/>
      <c r="AC190" s="471"/>
      <c r="AD190" s="474"/>
    </row>
    <row r="191" spans="1:30" x14ac:dyDescent="0.25">
      <c r="B191" s="417"/>
      <c r="C191" s="417"/>
      <c r="D191" s="417"/>
      <c r="E191" s="417"/>
      <c r="F191" s="417"/>
      <c r="G191" s="417"/>
      <c r="H191" s="417"/>
      <c r="I191" s="417"/>
      <c r="J191" s="417"/>
      <c r="K191" s="417"/>
      <c r="L191" s="417"/>
      <c r="M191" s="417"/>
      <c r="N191" s="417"/>
      <c r="O191" s="417"/>
      <c r="P191" s="417"/>
      <c r="Q191" s="417"/>
      <c r="R191" s="417"/>
      <c r="S191" s="417"/>
      <c r="T191" s="417"/>
      <c r="U191" s="471"/>
      <c r="V191" s="471"/>
      <c r="W191" s="417"/>
      <c r="X191" s="471"/>
      <c r="Y191" s="471"/>
      <c r="Z191" s="471"/>
      <c r="AA191" s="471"/>
      <c r="AB191" s="471"/>
      <c r="AC191" s="471"/>
      <c r="AD191" s="474"/>
    </row>
    <row r="192" spans="1:30" x14ac:dyDescent="0.25">
      <c r="B192" s="417"/>
      <c r="C192" s="417"/>
      <c r="D192" s="417"/>
      <c r="E192" s="417"/>
      <c r="F192" s="417"/>
      <c r="G192" s="417"/>
      <c r="H192" s="417"/>
      <c r="I192" s="417"/>
      <c r="J192" s="417"/>
      <c r="K192" s="417"/>
      <c r="L192" s="417"/>
      <c r="M192" s="417"/>
      <c r="N192" s="417"/>
      <c r="O192" s="417"/>
      <c r="P192" s="417"/>
      <c r="Q192" s="417"/>
      <c r="R192" s="417"/>
      <c r="S192" s="417"/>
      <c r="T192" s="417"/>
      <c r="U192" s="471"/>
      <c r="V192" s="471"/>
      <c r="W192" s="417"/>
      <c r="X192" s="471"/>
      <c r="Y192" s="471"/>
      <c r="Z192" s="471"/>
      <c r="AA192" s="471"/>
      <c r="AB192" s="471"/>
      <c r="AC192" s="471"/>
      <c r="AD192" s="474"/>
    </row>
    <row r="193" spans="2:30" x14ac:dyDescent="0.25">
      <c r="B193" s="417"/>
      <c r="C193" s="417"/>
      <c r="D193" s="417"/>
      <c r="E193" s="417"/>
      <c r="F193" s="417"/>
      <c r="G193" s="417"/>
      <c r="H193" s="417"/>
      <c r="I193" s="417"/>
      <c r="J193" s="417"/>
      <c r="K193" s="417"/>
      <c r="L193" s="417"/>
      <c r="M193" s="417"/>
      <c r="N193" s="417"/>
      <c r="O193" s="417"/>
      <c r="P193" s="417"/>
      <c r="Q193" s="417"/>
      <c r="R193" s="417"/>
      <c r="S193" s="417"/>
      <c r="T193" s="417"/>
      <c r="U193" s="471"/>
      <c r="V193" s="471"/>
      <c r="W193" s="417"/>
      <c r="X193" s="471"/>
      <c r="Y193" s="471"/>
      <c r="Z193" s="471"/>
      <c r="AA193" s="471"/>
      <c r="AB193" s="471"/>
      <c r="AC193" s="471"/>
      <c r="AD193" s="474"/>
    </row>
    <row r="194" spans="2:30" x14ac:dyDescent="0.25">
      <c r="B194" s="417"/>
      <c r="C194" s="417"/>
      <c r="D194" s="417"/>
      <c r="E194" s="417"/>
      <c r="F194" s="417"/>
      <c r="G194" s="417"/>
      <c r="H194" s="417"/>
      <c r="I194" s="417"/>
      <c r="J194" s="417"/>
      <c r="K194" s="417"/>
      <c r="L194" s="417"/>
      <c r="M194" s="417"/>
      <c r="N194" s="417"/>
      <c r="O194" s="417"/>
      <c r="P194" s="417"/>
      <c r="Q194" s="417"/>
      <c r="R194" s="417"/>
      <c r="S194" s="417"/>
      <c r="T194" s="417"/>
      <c r="U194" s="471"/>
      <c r="V194" s="471"/>
      <c r="W194" s="417"/>
      <c r="X194" s="471"/>
      <c r="Y194" s="471"/>
      <c r="Z194" s="471"/>
      <c r="AA194" s="471"/>
      <c r="AB194" s="471"/>
      <c r="AC194" s="471"/>
      <c r="AD194" s="474"/>
    </row>
    <row r="195" spans="2:30" x14ac:dyDescent="0.25">
      <c r="B195" s="417"/>
      <c r="C195" s="417"/>
      <c r="D195" s="417"/>
      <c r="E195" s="417"/>
      <c r="F195" s="417"/>
      <c r="G195" s="417"/>
      <c r="H195" s="417"/>
      <c r="I195" s="417"/>
      <c r="J195" s="417"/>
      <c r="K195" s="417"/>
      <c r="L195" s="417"/>
      <c r="M195" s="417"/>
      <c r="N195" s="417"/>
      <c r="O195" s="417"/>
      <c r="P195" s="417"/>
      <c r="Q195" s="417"/>
      <c r="R195" s="417"/>
      <c r="S195" s="417"/>
      <c r="T195" s="417"/>
      <c r="U195" s="471"/>
      <c r="V195" s="471"/>
      <c r="W195" s="417"/>
      <c r="X195" s="471"/>
      <c r="Y195" s="471"/>
      <c r="Z195" s="471"/>
      <c r="AA195" s="471"/>
      <c r="AB195" s="471"/>
      <c r="AC195" s="471"/>
      <c r="AD195" s="474"/>
    </row>
    <row r="196" spans="2:30" x14ac:dyDescent="0.25">
      <c r="B196" s="417"/>
      <c r="C196" s="417"/>
      <c r="D196" s="417"/>
      <c r="E196" s="417"/>
      <c r="F196" s="417"/>
      <c r="G196" s="417"/>
      <c r="H196" s="417"/>
      <c r="I196" s="417"/>
      <c r="J196" s="417"/>
      <c r="K196" s="417"/>
      <c r="L196" s="417"/>
      <c r="M196" s="417"/>
      <c r="N196" s="417"/>
      <c r="O196" s="417"/>
      <c r="P196" s="417"/>
      <c r="Q196" s="417"/>
      <c r="R196" s="417"/>
      <c r="S196" s="417"/>
      <c r="T196" s="417"/>
      <c r="U196" s="471"/>
      <c r="V196" s="471"/>
      <c r="W196" s="417"/>
      <c r="X196" s="471"/>
      <c r="Y196" s="471"/>
      <c r="Z196" s="471"/>
      <c r="AA196" s="471"/>
      <c r="AB196" s="471"/>
      <c r="AC196" s="471"/>
      <c r="AD196" s="474"/>
    </row>
    <row r="197" spans="2:30" x14ac:dyDescent="0.25">
      <c r="B197" s="417"/>
      <c r="C197" s="417"/>
      <c r="D197" s="417"/>
      <c r="E197" s="417"/>
      <c r="F197" s="417"/>
      <c r="G197" s="417"/>
      <c r="H197" s="417"/>
      <c r="I197" s="417"/>
      <c r="J197" s="417"/>
      <c r="K197" s="417"/>
      <c r="L197" s="417"/>
      <c r="M197" s="417"/>
      <c r="N197" s="417"/>
      <c r="O197" s="417"/>
      <c r="P197" s="417"/>
      <c r="Q197" s="417"/>
      <c r="R197" s="417"/>
      <c r="S197" s="417"/>
      <c r="T197" s="417"/>
      <c r="U197" s="471"/>
      <c r="V197" s="471"/>
      <c r="W197" s="417"/>
      <c r="X197" s="471"/>
      <c r="Y197" s="471"/>
      <c r="Z197" s="471"/>
      <c r="AA197" s="471"/>
      <c r="AB197" s="471"/>
      <c r="AC197" s="471"/>
      <c r="AD197" s="474"/>
    </row>
    <row r="198" spans="2:30" x14ac:dyDescent="0.25">
      <c r="B198" s="417"/>
      <c r="C198" s="417"/>
      <c r="D198" s="417"/>
      <c r="E198" s="417"/>
      <c r="F198" s="417"/>
      <c r="G198" s="417"/>
      <c r="H198" s="417"/>
      <c r="I198" s="417"/>
      <c r="J198" s="417"/>
      <c r="K198" s="417"/>
      <c r="L198" s="417"/>
      <c r="M198" s="417"/>
      <c r="N198" s="417"/>
      <c r="O198" s="417"/>
      <c r="P198" s="417"/>
      <c r="Q198" s="417"/>
      <c r="R198" s="417"/>
      <c r="S198" s="417"/>
      <c r="T198" s="417"/>
      <c r="U198" s="471"/>
      <c r="V198" s="471"/>
      <c r="W198" s="417"/>
      <c r="X198" s="471"/>
      <c r="Y198" s="471"/>
      <c r="Z198" s="471"/>
      <c r="AA198" s="471"/>
      <c r="AB198" s="471"/>
      <c r="AC198" s="471"/>
      <c r="AD198" s="474"/>
    </row>
    <row r="199" spans="2:30" x14ac:dyDescent="0.25">
      <c r="B199" s="417"/>
      <c r="C199" s="417"/>
      <c r="D199" s="417"/>
      <c r="E199" s="417"/>
      <c r="F199" s="417"/>
      <c r="G199" s="417"/>
      <c r="H199" s="417"/>
      <c r="I199" s="417"/>
      <c r="J199" s="417"/>
      <c r="K199" s="417"/>
      <c r="L199" s="417"/>
      <c r="M199" s="417"/>
      <c r="N199" s="417"/>
      <c r="O199" s="417"/>
      <c r="P199" s="417"/>
      <c r="Q199" s="417"/>
      <c r="R199" s="417"/>
      <c r="S199" s="417"/>
      <c r="T199" s="417"/>
      <c r="U199" s="471"/>
      <c r="V199" s="471"/>
      <c r="W199" s="417"/>
      <c r="X199" s="471"/>
      <c r="Y199" s="471"/>
      <c r="Z199" s="471"/>
      <c r="AA199" s="471"/>
      <c r="AB199" s="471"/>
      <c r="AC199" s="471"/>
      <c r="AD199" s="474"/>
    </row>
    <row r="200" spans="2:30" x14ac:dyDescent="0.25">
      <c r="B200" s="417"/>
      <c r="C200" s="417"/>
      <c r="D200" s="417"/>
      <c r="E200" s="417"/>
      <c r="F200" s="417"/>
      <c r="G200" s="417"/>
      <c r="H200" s="417"/>
      <c r="I200" s="417"/>
      <c r="J200" s="417"/>
      <c r="K200" s="417"/>
      <c r="L200" s="417"/>
      <c r="M200" s="417"/>
      <c r="N200" s="417"/>
      <c r="O200" s="417"/>
      <c r="P200" s="417"/>
      <c r="Q200" s="417"/>
      <c r="R200" s="417"/>
      <c r="S200" s="417"/>
      <c r="T200" s="417"/>
      <c r="U200" s="471"/>
      <c r="V200" s="471"/>
      <c r="W200" s="417"/>
      <c r="X200" s="471"/>
      <c r="Y200" s="471"/>
      <c r="Z200" s="471"/>
      <c r="AA200" s="471"/>
      <c r="AB200" s="471"/>
      <c r="AC200" s="471"/>
      <c r="AD200" s="474"/>
    </row>
    <row r="201" spans="2:30" x14ac:dyDescent="0.25">
      <c r="B201" s="417"/>
      <c r="C201" s="417"/>
      <c r="D201" s="417"/>
      <c r="E201" s="417"/>
      <c r="F201" s="417"/>
      <c r="G201" s="417"/>
      <c r="H201" s="417"/>
      <c r="I201" s="417"/>
      <c r="J201" s="417"/>
      <c r="K201" s="417"/>
      <c r="L201" s="417"/>
      <c r="M201" s="417"/>
      <c r="N201" s="417"/>
      <c r="O201" s="417"/>
      <c r="P201" s="417"/>
      <c r="Q201" s="417"/>
      <c r="R201" s="417"/>
      <c r="S201" s="417"/>
      <c r="T201" s="417"/>
      <c r="U201" s="471"/>
      <c r="V201" s="471"/>
      <c r="W201" s="417"/>
      <c r="X201" s="471"/>
      <c r="Y201" s="471"/>
      <c r="Z201" s="471"/>
      <c r="AA201" s="471"/>
      <c r="AB201" s="471"/>
      <c r="AC201" s="471"/>
      <c r="AD201" s="474"/>
    </row>
    <row r="202" spans="2:30" x14ac:dyDescent="0.25">
      <c r="B202" s="417"/>
      <c r="C202" s="417"/>
      <c r="D202" s="417"/>
      <c r="E202" s="417"/>
      <c r="F202" s="417"/>
      <c r="G202" s="417"/>
      <c r="H202" s="417"/>
      <c r="I202" s="417"/>
      <c r="J202" s="417"/>
      <c r="K202" s="417"/>
      <c r="L202" s="417"/>
      <c r="M202" s="417"/>
      <c r="N202" s="417"/>
      <c r="O202" s="417"/>
      <c r="P202" s="417"/>
      <c r="Q202" s="417"/>
      <c r="R202" s="417"/>
      <c r="S202" s="417"/>
      <c r="T202" s="417"/>
      <c r="U202" s="471"/>
      <c r="V202" s="471"/>
      <c r="W202" s="417"/>
      <c r="X202" s="471"/>
      <c r="Y202" s="471"/>
      <c r="Z202" s="471"/>
      <c r="AA202" s="471"/>
      <c r="AB202" s="471"/>
      <c r="AC202" s="471"/>
      <c r="AD202" s="474"/>
    </row>
    <row r="203" spans="2:30" x14ac:dyDescent="0.25">
      <c r="B203" s="417"/>
      <c r="C203" s="417"/>
      <c r="D203" s="417"/>
      <c r="E203" s="417"/>
      <c r="F203" s="417"/>
      <c r="G203" s="417"/>
      <c r="H203" s="417"/>
      <c r="I203" s="417"/>
      <c r="J203" s="417"/>
      <c r="K203" s="417"/>
      <c r="L203" s="417"/>
      <c r="M203" s="417"/>
      <c r="N203" s="417"/>
      <c r="O203" s="417"/>
      <c r="P203" s="417"/>
      <c r="Q203" s="417"/>
      <c r="R203" s="417"/>
      <c r="S203" s="417"/>
      <c r="T203" s="417"/>
      <c r="U203" s="471"/>
      <c r="V203" s="471"/>
      <c r="W203" s="417"/>
      <c r="X203" s="471"/>
      <c r="Y203" s="471"/>
      <c r="Z203" s="471"/>
      <c r="AA203" s="471"/>
      <c r="AB203" s="471"/>
      <c r="AC203" s="471"/>
      <c r="AD203" s="474"/>
    </row>
    <row r="204" spans="2:30" x14ac:dyDescent="0.25">
      <c r="B204" s="417"/>
      <c r="C204" s="417"/>
      <c r="D204" s="417"/>
      <c r="E204" s="417"/>
      <c r="F204" s="417"/>
      <c r="G204" s="417"/>
      <c r="H204" s="417"/>
      <c r="I204" s="417"/>
      <c r="J204" s="417"/>
      <c r="K204" s="417"/>
      <c r="L204" s="417"/>
      <c r="M204" s="417"/>
      <c r="N204" s="417"/>
      <c r="O204" s="417"/>
      <c r="P204" s="417"/>
      <c r="Q204" s="417"/>
      <c r="R204" s="417"/>
      <c r="S204" s="417"/>
      <c r="T204" s="417"/>
      <c r="U204" s="471"/>
      <c r="V204" s="471"/>
      <c r="W204" s="417"/>
      <c r="X204" s="471"/>
      <c r="Y204" s="471"/>
      <c r="Z204" s="471"/>
      <c r="AA204" s="471"/>
      <c r="AB204" s="471"/>
      <c r="AC204" s="471"/>
      <c r="AD204" s="474"/>
    </row>
    <row r="205" spans="2:30" x14ac:dyDescent="0.25">
      <c r="B205" s="417"/>
      <c r="C205" s="417"/>
      <c r="D205" s="417"/>
      <c r="E205" s="417"/>
      <c r="F205" s="417"/>
      <c r="G205" s="417"/>
      <c r="H205" s="417"/>
      <c r="I205" s="417"/>
      <c r="J205" s="417"/>
      <c r="K205" s="417"/>
      <c r="L205" s="417"/>
      <c r="M205" s="417"/>
      <c r="N205" s="417"/>
      <c r="O205" s="417"/>
      <c r="P205" s="417"/>
      <c r="Q205" s="417"/>
      <c r="R205" s="417"/>
      <c r="S205" s="417"/>
      <c r="T205" s="417"/>
      <c r="U205" s="471"/>
      <c r="V205" s="471"/>
      <c r="W205" s="417"/>
      <c r="X205" s="471"/>
      <c r="Y205" s="471"/>
      <c r="Z205" s="471"/>
      <c r="AA205" s="471"/>
      <c r="AB205" s="471"/>
      <c r="AC205" s="471"/>
      <c r="AD205" s="474"/>
    </row>
    <row r="206" spans="2:30" x14ac:dyDescent="0.25">
      <c r="B206" s="417"/>
      <c r="C206" s="417"/>
      <c r="D206" s="417"/>
      <c r="E206" s="417"/>
      <c r="F206" s="417"/>
      <c r="G206" s="417"/>
      <c r="H206" s="417"/>
      <c r="I206" s="417"/>
      <c r="J206" s="417"/>
      <c r="K206" s="417"/>
      <c r="L206" s="417"/>
      <c r="M206" s="417"/>
      <c r="N206" s="417"/>
      <c r="O206" s="417"/>
      <c r="P206" s="417"/>
      <c r="Q206" s="417"/>
      <c r="R206" s="417"/>
      <c r="S206" s="417"/>
      <c r="T206" s="417"/>
      <c r="U206" s="471"/>
      <c r="V206" s="471"/>
      <c r="W206" s="417"/>
      <c r="X206" s="471"/>
      <c r="Y206" s="471"/>
      <c r="Z206" s="471"/>
      <c r="AA206" s="471"/>
      <c r="AB206" s="471"/>
      <c r="AC206" s="471"/>
      <c r="AD206" s="474"/>
    </row>
    <row r="207" spans="2:30" x14ac:dyDescent="0.25">
      <c r="B207" s="417"/>
      <c r="C207" s="417"/>
      <c r="D207" s="417"/>
      <c r="E207" s="417"/>
      <c r="F207" s="417"/>
      <c r="G207" s="417"/>
      <c r="H207" s="417"/>
      <c r="I207" s="417"/>
      <c r="J207" s="417"/>
      <c r="K207" s="417"/>
      <c r="L207" s="417"/>
      <c r="M207" s="417"/>
      <c r="N207" s="417"/>
      <c r="O207" s="417"/>
      <c r="P207" s="417"/>
      <c r="Q207" s="417"/>
      <c r="R207" s="417"/>
      <c r="S207" s="417"/>
      <c r="T207" s="417"/>
      <c r="U207" s="471"/>
      <c r="V207" s="471"/>
      <c r="W207" s="417"/>
      <c r="X207" s="471"/>
      <c r="Y207" s="471"/>
      <c r="Z207" s="471"/>
      <c r="AA207" s="471"/>
      <c r="AB207" s="471"/>
      <c r="AC207" s="471"/>
      <c r="AD207" s="474"/>
    </row>
    <row r="208" spans="2:30" x14ac:dyDescent="0.25">
      <c r="B208" s="417"/>
      <c r="C208" s="417"/>
      <c r="D208" s="417"/>
      <c r="E208" s="417"/>
      <c r="F208" s="417"/>
      <c r="G208" s="417"/>
      <c r="H208" s="417"/>
      <c r="I208" s="417"/>
      <c r="J208" s="417"/>
      <c r="K208" s="417"/>
      <c r="L208" s="417"/>
      <c r="M208" s="417"/>
      <c r="N208" s="417"/>
      <c r="O208" s="417"/>
      <c r="P208" s="417"/>
      <c r="Q208" s="417"/>
      <c r="R208" s="417"/>
      <c r="S208" s="417"/>
      <c r="T208" s="417"/>
      <c r="U208" s="471"/>
      <c r="V208" s="471"/>
      <c r="W208" s="417"/>
      <c r="X208" s="471"/>
      <c r="Y208" s="471"/>
      <c r="Z208" s="471"/>
      <c r="AA208" s="471"/>
      <c r="AB208" s="471"/>
      <c r="AC208" s="471"/>
      <c r="AD208" s="474"/>
    </row>
    <row r="209" spans="2:30" x14ac:dyDescent="0.25">
      <c r="B209" s="417"/>
      <c r="C209" s="417"/>
      <c r="D209" s="417"/>
      <c r="E209" s="417"/>
      <c r="F209" s="417"/>
      <c r="G209" s="417"/>
      <c r="H209" s="417"/>
      <c r="I209" s="417"/>
      <c r="J209" s="417"/>
      <c r="K209" s="417"/>
      <c r="L209" s="417"/>
      <c r="M209" s="417"/>
      <c r="N209" s="417"/>
      <c r="O209" s="417"/>
      <c r="P209" s="417"/>
      <c r="Q209" s="417"/>
      <c r="R209" s="417"/>
      <c r="S209" s="417"/>
      <c r="T209" s="417"/>
      <c r="U209" s="471"/>
      <c r="V209" s="471"/>
      <c r="W209" s="417"/>
      <c r="X209" s="471"/>
      <c r="Y209" s="471"/>
      <c r="Z209" s="471"/>
      <c r="AA209" s="471"/>
      <c r="AB209" s="471"/>
      <c r="AC209" s="471"/>
      <c r="AD209" s="474"/>
    </row>
    <row r="210" spans="2:30" x14ac:dyDescent="0.25">
      <c r="B210" s="417"/>
      <c r="C210" s="417"/>
      <c r="D210" s="417"/>
      <c r="E210" s="417"/>
      <c r="F210" s="417"/>
      <c r="G210" s="417"/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71"/>
      <c r="V210" s="471"/>
      <c r="W210" s="417"/>
      <c r="X210" s="471"/>
      <c r="Y210" s="471"/>
      <c r="Z210" s="471"/>
      <c r="AA210" s="471"/>
      <c r="AB210" s="471"/>
      <c r="AC210" s="471"/>
      <c r="AD210" s="474"/>
    </row>
    <row r="211" spans="2:30" x14ac:dyDescent="0.25">
      <c r="B211" s="417"/>
      <c r="C211" s="417"/>
      <c r="D211" s="417"/>
      <c r="E211" s="417"/>
      <c r="F211" s="417"/>
      <c r="G211" s="417"/>
      <c r="H211" s="417"/>
      <c r="I211" s="417"/>
      <c r="J211" s="417"/>
      <c r="K211" s="417"/>
      <c r="L211" s="417"/>
      <c r="M211" s="417"/>
      <c r="N211" s="417"/>
      <c r="O211" s="417"/>
      <c r="P211" s="417"/>
      <c r="Q211" s="417"/>
      <c r="R211" s="417"/>
      <c r="S211" s="417"/>
      <c r="T211" s="417"/>
      <c r="U211" s="471"/>
      <c r="V211" s="471"/>
      <c r="W211" s="417"/>
      <c r="X211" s="471"/>
      <c r="Y211" s="471"/>
      <c r="Z211" s="471"/>
      <c r="AA211" s="471"/>
      <c r="AB211" s="471"/>
      <c r="AC211" s="471"/>
      <c r="AD211" s="474"/>
    </row>
    <row r="212" spans="2:30" x14ac:dyDescent="0.25">
      <c r="B212" s="417"/>
      <c r="C212" s="417"/>
      <c r="D212" s="417"/>
      <c r="E212" s="417"/>
      <c r="F212" s="417"/>
      <c r="G212" s="417"/>
      <c r="H212" s="417"/>
      <c r="I212" s="417"/>
      <c r="J212" s="417"/>
      <c r="K212" s="417"/>
      <c r="L212" s="417"/>
      <c r="M212" s="417"/>
      <c r="N212" s="417"/>
      <c r="O212" s="417"/>
      <c r="P212" s="417"/>
      <c r="Q212" s="417"/>
      <c r="R212" s="417"/>
      <c r="S212" s="417"/>
      <c r="T212" s="417"/>
      <c r="U212" s="471"/>
      <c r="V212" s="471"/>
      <c r="W212" s="417"/>
      <c r="X212" s="471"/>
      <c r="Y212" s="471"/>
      <c r="Z212" s="471"/>
      <c r="AA212" s="471"/>
      <c r="AB212" s="471"/>
      <c r="AC212" s="471"/>
      <c r="AD212" s="474"/>
    </row>
    <row r="213" spans="2:30" x14ac:dyDescent="0.25">
      <c r="B213" s="417"/>
      <c r="C213" s="417"/>
      <c r="D213" s="417"/>
      <c r="E213" s="417"/>
      <c r="F213" s="417"/>
      <c r="G213" s="417"/>
      <c r="H213" s="417"/>
      <c r="I213" s="417"/>
      <c r="J213" s="417"/>
      <c r="K213" s="417"/>
      <c r="L213" s="417"/>
      <c r="M213" s="417"/>
      <c r="N213" s="417"/>
      <c r="O213" s="417"/>
      <c r="P213" s="417"/>
      <c r="Q213" s="417"/>
      <c r="R213" s="417"/>
      <c r="S213" s="417"/>
      <c r="T213" s="417"/>
      <c r="U213" s="471"/>
      <c r="V213" s="471"/>
      <c r="W213" s="417"/>
      <c r="X213" s="471"/>
      <c r="Y213" s="471"/>
      <c r="Z213" s="471"/>
      <c r="AA213" s="471"/>
      <c r="AB213" s="471"/>
      <c r="AC213" s="471"/>
      <c r="AD213" s="474"/>
    </row>
    <row r="214" spans="2:30" x14ac:dyDescent="0.25">
      <c r="B214" s="417"/>
      <c r="C214" s="417"/>
      <c r="D214" s="417"/>
      <c r="E214" s="417"/>
      <c r="F214" s="417"/>
      <c r="G214" s="417"/>
      <c r="H214" s="417"/>
      <c r="I214" s="417"/>
      <c r="J214" s="417"/>
      <c r="K214" s="417"/>
      <c r="L214" s="417"/>
      <c r="M214" s="417"/>
      <c r="N214" s="417"/>
      <c r="O214" s="417"/>
      <c r="P214" s="417"/>
      <c r="Q214" s="417"/>
      <c r="R214" s="417"/>
      <c r="S214" s="417"/>
      <c r="T214" s="417"/>
      <c r="U214" s="471"/>
      <c r="V214" s="471"/>
      <c r="W214" s="417"/>
      <c r="X214" s="471"/>
      <c r="Y214" s="471"/>
      <c r="Z214" s="471"/>
      <c r="AA214" s="471"/>
      <c r="AB214" s="471"/>
      <c r="AC214" s="471"/>
      <c r="AD214" s="474"/>
    </row>
    <row r="215" spans="2:30" x14ac:dyDescent="0.25">
      <c r="B215" s="417"/>
      <c r="C215" s="417"/>
      <c r="D215" s="417"/>
      <c r="E215" s="417"/>
      <c r="F215" s="417"/>
      <c r="G215" s="417"/>
      <c r="H215" s="417"/>
      <c r="I215" s="417"/>
      <c r="J215" s="417"/>
      <c r="K215" s="417"/>
      <c r="L215" s="417"/>
      <c r="M215" s="417"/>
      <c r="N215" s="417"/>
      <c r="O215" s="417"/>
      <c r="P215" s="417"/>
      <c r="Q215" s="417"/>
      <c r="R215" s="417"/>
      <c r="S215" s="417"/>
      <c r="T215" s="417"/>
      <c r="U215" s="471"/>
      <c r="V215" s="471"/>
      <c r="W215" s="417"/>
      <c r="X215" s="471"/>
      <c r="Y215" s="471"/>
      <c r="Z215" s="471"/>
      <c r="AA215" s="471"/>
      <c r="AB215" s="471"/>
      <c r="AC215" s="471"/>
      <c r="AD215" s="474"/>
    </row>
    <row r="216" spans="2:30" x14ac:dyDescent="0.25">
      <c r="B216" s="417"/>
      <c r="C216" s="417"/>
      <c r="D216" s="417"/>
      <c r="E216" s="417"/>
      <c r="F216" s="417"/>
      <c r="G216" s="417"/>
      <c r="H216" s="417"/>
      <c r="I216" s="417"/>
      <c r="J216" s="417"/>
      <c r="K216" s="417"/>
      <c r="L216" s="417"/>
      <c r="M216" s="417"/>
      <c r="N216" s="417"/>
      <c r="O216" s="417"/>
      <c r="P216" s="417"/>
      <c r="Q216" s="417"/>
      <c r="R216" s="417"/>
      <c r="S216" s="417"/>
      <c r="T216" s="417"/>
      <c r="U216" s="471"/>
      <c r="V216" s="471"/>
      <c r="W216" s="417"/>
      <c r="X216" s="471"/>
      <c r="Y216" s="471"/>
      <c r="Z216" s="471"/>
      <c r="AA216" s="471"/>
      <c r="AB216" s="471"/>
      <c r="AC216" s="471"/>
      <c r="AD216" s="474"/>
    </row>
    <row r="217" spans="2:30" x14ac:dyDescent="0.25">
      <c r="B217" s="417"/>
      <c r="C217" s="417"/>
      <c r="D217" s="417"/>
      <c r="E217" s="417"/>
      <c r="F217" s="417"/>
      <c r="G217" s="417"/>
      <c r="H217" s="417"/>
      <c r="I217" s="417"/>
      <c r="J217" s="417"/>
      <c r="K217" s="417"/>
      <c r="L217" s="417"/>
      <c r="M217" s="417"/>
      <c r="N217" s="417"/>
      <c r="O217" s="417"/>
      <c r="P217" s="417"/>
      <c r="Q217" s="417"/>
      <c r="R217" s="417"/>
      <c r="S217" s="417"/>
      <c r="T217" s="417"/>
      <c r="U217" s="471"/>
      <c r="V217" s="471"/>
      <c r="W217" s="417"/>
      <c r="X217" s="471"/>
      <c r="Y217" s="471"/>
      <c r="Z217" s="471"/>
      <c r="AA217" s="471"/>
      <c r="AB217" s="471"/>
      <c r="AC217" s="471"/>
      <c r="AD217" s="474"/>
    </row>
    <row r="218" spans="2:30" x14ac:dyDescent="0.25">
      <c r="B218" s="417"/>
      <c r="C218" s="417"/>
      <c r="D218" s="417"/>
      <c r="E218" s="417"/>
      <c r="F218" s="417"/>
      <c r="G218" s="417"/>
      <c r="H218" s="417"/>
      <c r="I218" s="417"/>
      <c r="J218" s="417"/>
      <c r="K218" s="417"/>
      <c r="L218" s="417"/>
      <c r="M218" s="417"/>
      <c r="N218" s="417"/>
      <c r="O218" s="417"/>
      <c r="P218" s="417"/>
      <c r="Q218" s="417"/>
      <c r="R218" s="417"/>
      <c r="S218" s="417"/>
      <c r="T218" s="417"/>
      <c r="U218" s="471"/>
      <c r="V218" s="471"/>
      <c r="W218" s="417"/>
      <c r="X218" s="471"/>
      <c r="Y218" s="471"/>
      <c r="Z218" s="471"/>
      <c r="AA218" s="471"/>
      <c r="AB218" s="471"/>
      <c r="AC218" s="471"/>
      <c r="AD218" s="474"/>
    </row>
    <row r="219" spans="2:30" x14ac:dyDescent="0.25">
      <c r="B219" s="417"/>
      <c r="C219" s="417"/>
      <c r="D219" s="417"/>
      <c r="E219" s="417"/>
      <c r="F219" s="417"/>
      <c r="G219" s="417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71"/>
      <c r="V219" s="471"/>
      <c r="W219" s="417"/>
      <c r="X219" s="471"/>
      <c r="Y219" s="471"/>
      <c r="Z219" s="471"/>
      <c r="AA219" s="471"/>
      <c r="AB219" s="471"/>
      <c r="AC219" s="471"/>
      <c r="AD219" s="474"/>
    </row>
    <row r="220" spans="2:30" x14ac:dyDescent="0.25">
      <c r="B220" s="417"/>
      <c r="C220" s="417"/>
      <c r="D220" s="417"/>
      <c r="E220" s="417"/>
      <c r="F220" s="417"/>
      <c r="G220" s="417"/>
      <c r="H220" s="417"/>
      <c r="I220" s="417"/>
      <c r="J220" s="417"/>
      <c r="K220" s="417"/>
      <c r="L220" s="417"/>
      <c r="M220" s="417"/>
      <c r="N220" s="417"/>
      <c r="O220" s="417"/>
      <c r="P220" s="417"/>
      <c r="Q220" s="417"/>
      <c r="R220" s="417"/>
      <c r="S220" s="417"/>
      <c r="T220" s="417"/>
      <c r="U220" s="471"/>
      <c r="V220" s="471"/>
      <c r="W220" s="417"/>
      <c r="X220" s="471"/>
      <c r="Y220" s="471"/>
      <c r="Z220" s="471"/>
      <c r="AA220" s="471"/>
      <c r="AB220" s="471"/>
      <c r="AC220" s="471"/>
      <c r="AD220" s="474"/>
    </row>
    <row r="221" spans="2:30" x14ac:dyDescent="0.25">
      <c r="B221" s="417"/>
      <c r="C221" s="417"/>
      <c r="D221" s="417"/>
      <c r="E221" s="417"/>
      <c r="F221" s="417"/>
      <c r="G221" s="417"/>
      <c r="H221" s="417"/>
      <c r="I221" s="417"/>
      <c r="J221" s="417"/>
      <c r="K221" s="417"/>
      <c r="L221" s="417"/>
      <c r="M221" s="417"/>
      <c r="N221" s="417"/>
      <c r="O221" s="417"/>
      <c r="P221" s="417"/>
      <c r="Q221" s="417"/>
      <c r="R221" s="417"/>
      <c r="S221" s="417"/>
      <c r="T221" s="417"/>
      <c r="U221" s="471"/>
      <c r="V221" s="471"/>
      <c r="W221" s="417"/>
      <c r="X221" s="471"/>
      <c r="Y221" s="471"/>
      <c r="Z221" s="471"/>
      <c r="AA221" s="471"/>
      <c r="AB221" s="471"/>
      <c r="AC221" s="471"/>
      <c r="AD221" s="474"/>
    </row>
    <row r="222" spans="2:30" x14ac:dyDescent="0.25">
      <c r="B222" s="417"/>
      <c r="C222" s="417"/>
      <c r="D222" s="417"/>
      <c r="E222" s="417"/>
      <c r="F222" s="417"/>
      <c r="G222" s="417"/>
      <c r="H222" s="417"/>
      <c r="I222" s="417"/>
      <c r="J222" s="417"/>
      <c r="K222" s="417"/>
      <c r="L222" s="417"/>
      <c r="M222" s="417"/>
      <c r="N222" s="417"/>
      <c r="O222" s="417"/>
      <c r="P222" s="417"/>
      <c r="Q222" s="417"/>
      <c r="R222" s="417"/>
      <c r="S222" s="417"/>
      <c r="T222" s="417"/>
      <c r="U222" s="471"/>
      <c r="V222" s="471"/>
      <c r="W222" s="417"/>
      <c r="X222" s="471"/>
      <c r="Y222" s="471"/>
      <c r="Z222" s="471"/>
      <c r="AA222" s="471"/>
      <c r="AB222" s="471"/>
      <c r="AC222" s="471"/>
      <c r="AD222" s="474"/>
    </row>
    <row r="223" spans="2:30" x14ac:dyDescent="0.25">
      <c r="B223" s="417"/>
      <c r="C223" s="417"/>
      <c r="D223" s="417"/>
      <c r="E223" s="417"/>
      <c r="F223" s="417"/>
      <c r="G223" s="417"/>
      <c r="H223" s="417"/>
      <c r="I223" s="417"/>
      <c r="J223" s="417"/>
      <c r="K223" s="417"/>
      <c r="L223" s="417"/>
      <c r="M223" s="417"/>
      <c r="N223" s="417"/>
      <c r="O223" s="417"/>
      <c r="P223" s="417"/>
      <c r="Q223" s="417"/>
      <c r="R223" s="417"/>
      <c r="S223" s="417"/>
      <c r="T223" s="417"/>
      <c r="U223" s="471"/>
      <c r="V223" s="471"/>
      <c r="W223" s="417"/>
      <c r="X223" s="471"/>
      <c r="Y223" s="471"/>
      <c r="Z223" s="471"/>
      <c r="AA223" s="471"/>
      <c r="AB223" s="471"/>
      <c r="AC223" s="471"/>
      <c r="AD223" s="474"/>
    </row>
    <row r="224" spans="2:30" x14ac:dyDescent="0.25">
      <c r="B224" s="417"/>
      <c r="C224" s="417"/>
      <c r="D224" s="417"/>
      <c r="E224" s="417"/>
      <c r="F224" s="417"/>
      <c r="G224" s="417"/>
      <c r="H224" s="417"/>
      <c r="I224" s="417"/>
      <c r="J224" s="417"/>
      <c r="K224" s="417"/>
      <c r="L224" s="417"/>
      <c r="M224" s="417"/>
      <c r="N224" s="417"/>
      <c r="O224" s="417"/>
      <c r="P224" s="417"/>
      <c r="Q224" s="417"/>
      <c r="R224" s="417"/>
      <c r="S224" s="417"/>
      <c r="T224" s="417"/>
      <c r="U224" s="471"/>
      <c r="V224" s="471"/>
      <c r="W224" s="417"/>
      <c r="X224" s="471"/>
      <c r="Y224" s="471"/>
      <c r="Z224" s="471"/>
      <c r="AA224" s="471"/>
      <c r="AB224" s="471"/>
      <c r="AC224" s="471"/>
      <c r="AD224" s="474"/>
    </row>
    <row r="225" spans="2:30" x14ac:dyDescent="0.25">
      <c r="B225" s="417"/>
      <c r="C225" s="417"/>
      <c r="D225" s="417"/>
      <c r="E225" s="417"/>
      <c r="F225" s="417"/>
      <c r="G225" s="417"/>
      <c r="H225" s="417"/>
      <c r="I225" s="417"/>
      <c r="J225" s="417"/>
      <c r="K225" s="417"/>
      <c r="L225" s="417"/>
      <c r="M225" s="417"/>
      <c r="N225" s="417"/>
      <c r="O225" s="417"/>
      <c r="P225" s="417"/>
      <c r="Q225" s="417"/>
      <c r="R225" s="417"/>
      <c r="S225" s="417"/>
      <c r="T225" s="417"/>
      <c r="U225" s="471"/>
      <c r="V225" s="471"/>
      <c r="W225" s="417"/>
      <c r="X225" s="471"/>
      <c r="Y225" s="471"/>
      <c r="Z225" s="471"/>
      <c r="AA225" s="471"/>
      <c r="AB225" s="471"/>
      <c r="AC225" s="471"/>
      <c r="AD225" s="474"/>
    </row>
    <row r="226" spans="2:30" x14ac:dyDescent="0.25">
      <c r="B226" s="417"/>
      <c r="C226" s="417"/>
      <c r="D226" s="417"/>
      <c r="E226" s="417"/>
      <c r="F226" s="417"/>
      <c r="G226" s="417"/>
      <c r="H226" s="417"/>
      <c r="I226" s="417"/>
      <c r="J226" s="417"/>
      <c r="K226" s="417"/>
      <c r="L226" s="417"/>
      <c r="M226" s="417"/>
      <c r="N226" s="417"/>
      <c r="O226" s="417"/>
      <c r="P226" s="417"/>
      <c r="Q226" s="417"/>
      <c r="R226" s="417"/>
      <c r="S226" s="417"/>
      <c r="T226" s="417"/>
      <c r="U226" s="471"/>
      <c r="V226" s="471"/>
      <c r="W226" s="417"/>
      <c r="X226" s="471"/>
      <c r="Y226" s="471"/>
      <c r="Z226" s="471"/>
      <c r="AA226" s="471"/>
      <c r="AB226" s="471"/>
      <c r="AC226" s="471"/>
      <c r="AD226" s="474"/>
    </row>
    <row r="227" spans="2:30" x14ac:dyDescent="0.25">
      <c r="B227" s="417"/>
      <c r="C227" s="417"/>
      <c r="D227" s="417"/>
      <c r="E227" s="417"/>
      <c r="F227" s="417"/>
      <c r="G227" s="417"/>
      <c r="H227" s="417"/>
      <c r="I227" s="417"/>
      <c r="J227" s="417"/>
      <c r="K227" s="417"/>
      <c r="L227" s="417"/>
      <c r="M227" s="417"/>
      <c r="N227" s="417"/>
      <c r="O227" s="417"/>
      <c r="P227" s="417"/>
      <c r="Q227" s="417"/>
      <c r="R227" s="417"/>
      <c r="S227" s="417"/>
      <c r="T227" s="417"/>
      <c r="U227" s="471"/>
      <c r="V227" s="471"/>
      <c r="W227" s="417"/>
      <c r="X227" s="471"/>
      <c r="Y227" s="471"/>
      <c r="Z227" s="471"/>
      <c r="AA227" s="471"/>
      <c r="AB227" s="471"/>
      <c r="AC227" s="471"/>
      <c r="AD227" s="474"/>
    </row>
    <row r="228" spans="2:30" x14ac:dyDescent="0.25">
      <c r="B228" s="417"/>
      <c r="C228" s="417"/>
      <c r="D228" s="417"/>
      <c r="E228" s="417"/>
      <c r="F228" s="417"/>
      <c r="G228" s="417"/>
      <c r="H228" s="417"/>
      <c r="I228" s="417"/>
      <c r="J228" s="417"/>
      <c r="K228" s="417"/>
      <c r="L228" s="417"/>
      <c r="M228" s="417"/>
      <c r="N228" s="417"/>
      <c r="O228" s="417"/>
      <c r="P228" s="417"/>
      <c r="Q228" s="417"/>
      <c r="R228" s="417"/>
      <c r="S228" s="417"/>
      <c r="T228" s="417"/>
      <c r="U228" s="471"/>
      <c r="V228" s="471"/>
      <c r="W228" s="417"/>
      <c r="X228" s="471"/>
      <c r="Y228" s="471"/>
      <c r="Z228" s="471"/>
      <c r="AA228" s="471"/>
      <c r="AB228" s="471"/>
      <c r="AC228" s="471"/>
      <c r="AD228" s="474"/>
    </row>
    <row r="229" spans="2:30" x14ac:dyDescent="0.25">
      <c r="B229" s="417"/>
      <c r="C229" s="417"/>
      <c r="D229" s="417"/>
      <c r="E229" s="417"/>
      <c r="F229" s="417"/>
      <c r="G229" s="417"/>
      <c r="H229" s="417"/>
      <c r="I229" s="417"/>
      <c r="J229" s="417"/>
      <c r="K229" s="417"/>
      <c r="L229" s="417"/>
      <c r="M229" s="417"/>
      <c r="N229" s="417"/>
      <c r="O229" s="417"/>
      <c r="P229" s="417"/>
      <c r="Q229" s="417"/>
      <c r="R229" s="417"/>
      <c r="S229" s="417"/>
      <c r="T229" s="417"/>
      <c r="U229" s="471"/>
      <c r="V229" s="471"/>
      <c r="W229" s="417"/>
      <c r="X229" s="471"/>
      <c r="Y229" s="471"/>
      <c r="Z229" s="471"/>
      <c r="AA229" s="471"/>
      <c r="AB229" s="471"/>
      <c r="AC229" s="471"/>
      <c r="AD229" s="474"/>
    </row>
    <row r="230" spans="2:30" x14ac:dyDescent="0.25">
      <c r="B230" s="417"/>
      <c r="C230" s="417"/>
      <c r="D230" s="417"/>
      <c r="E230" s="417"/>
      <c r="F230" s="417"/>
      <c r="G230" s="417"/>
      <c r="H230" s="417"/>
      <c r="I230" s="417"/>
      <c r="J230" s="417"/>
      <c r="K230" s="417"/>
      <c r="L230" s="417"/>
      <c r="M230" s="417"/>
      <c r="N230" s="417"/>
      <c r="O230" s="417"/>
      <c r="P230" s="417"/>
      <c r="Q230" s="417"/>
      <c r="R230" s="417"/>
      <c r="S230" s="417"/>
      <c r="T230" s="417"/>
      <c r="U230" s="471"/>
      <c r="V230" s="471"/>
      <c r="W230" s="417"/>
      <c r="X230" s="471"/>
      <c r="Y230" s="471"/>
      <c r="Z230" s="471"/>
      <c r="AA230" s="471"/>
      <c r="AB230" s="471"/>
      <c r="AC230" s="471"/>
      <c r="AD230" s="474"/>
    </row>
    <row r="231" spans="2:30" x14ac:dyDescent="0.25">
      <c r="B231" s="417"/>
      <c r="C231" s="417"/>
      <c r="D231" s="417"/>
      <c r="E231" s="417"/>
      <c r="F231" s="417"/>
      <c r="G231" s="417"/>
      <c r="H231" s="417"/>
      <c r="I231" s="417"/>
      <c r="J231" s="417"/>
      <c r="K231" s="417"/>
      <c r="L231" s="417"/>
      <c r="M231" s="417"/>
      <c r="N231" s="417"/>
      <c r="O231" s="417"/>
      <c r="P231" s="417"/>
      <c r="Q231" s="417"/>
      <c r="R231" s="417"/>
      <c r="S231" s="417"/>
      <c r="T231" s="417"/>
      <c r="U231" s="471"/>
      <c r="V231" s="471"/>
      <c r="W231" s="417"/>
      <c r="X231" s="471"/>
      <c r="Y231" s="471"/>
      <c r="Z231" s="471"/>
      <c r="AA231" s="471"/>
      <c r="AB231" s="471"/>
      <c r="AC231" s="471"/>
      <c r="AD231" s="474"/>
    </row>
    <row r="232" spans="2:30" x14ac:dyDescent="0.25">
      <c r="B232" s="417"/>
      <c r="C232" s="417"/>
      <c r="D232" s="417"/>
      <c r="E232" s="417"/>
      <c r="F232" s="417"/>
      <c r="G232" s="417"/>
      <c r="H232" s="417"/>
      <c r="I232" s="417"/>
      <c r="J232" s="417"/>
      <c r="K232" s="417"/>
      <c r="L232" s="417"/>
      <c r="M232" s="417"/>
      <c r="N232" s="417"/>
      <c r="O232" s="417"/>
      <c r="P232" s="417"/>
      <c r="Q232" s="417"/>
      <c r="R232" s="417"/>
      <c r="S232" s="417"/>
      <c r="T232" s="417"/>
      <c r="U232" s="471"/>
      <c r="V232" s="471"/>
      <c r="W232" s="417"/>
      <c r="X232" s="471"/>
      <c r="Y232" s="471"/>
      <c r="Z232" s="471"/>
      <c r="AA232" s="471"/>
      <c r="AB232" s="471"/>
      <c r="AC232" s="471"/>
      <c r="AD232" s="474"/>
    </row>
    <row r="233" spans="2:30" x14ac:dyDescent="0.25">
      <c r="B233" s="417"/>
      <c r="C233" s="417"/>
      <c r="D233" s="417"/>
      <c r="E233" s="417"/>
      <c r="F233" s="417"/>
      <c r="G233" s="417"/>
      <c r="H233" s="417"/>
      <c r="I233" s="417"/>
      <c r="J233" s="417"/>
      <c r="K233" s="417"/>
      <c r="L233" s="417"/>
      <c r="M233" s="417"/>
      <c r="N233" s="417"/>
      <c r="O233" s="417"/>
      <c r="P233" s="417"/>
      <c r="Q233" s="417"/>
      <c r="R233" s="417"/>
      <c r="S233" s="417"/>
      <c r="T233" s="417"/>
      <c r="U233" s="471"/>
      <c r="V233" s="471"/>
      <c r="W233" s="417"/>
      <c r="X233" s="471"/>
      <c r="Y233" s="471"/>
      <c r="Z233" s="471"/>
      <c r="AA233" s="471"/>
      <c r="AB233" s="471"/>
      <c r="AC233" s="471"/>
      <c r="AD233" s="474"/>
    </row>
    <row r="234" spans="2:30" x14ac:dyDescent="0.25">
      <c r="B234" s="417"/>
      <c r="C234" s="417"/>
      <c r="D234" s="417"/>
      <c r="E234" s="417"/>
      <c r="F234" s="417"/>
      <c r="G234" s="417"/>
      <c r="H234" s="417"/>
      <c r="I234" s="417"/>
      <c r="J234" s="417"/>
      <c r="K234" s="417"/>
      <c r="L234" s="417"/>
      <c r="M234" s="417"/>
      <c r="N234" s="417"/>
      <c r="O234" s="417"/>
      <c r="P234" s="417"/>
      <c r="Q234" s="417"/>
      <c r="R234" s="417"/>
      <c r="S234" s="417"/>
      <c r="T234" s="417"/>
      <c r="U234" s="471"/>
      <c r="V234" s="471"/>
      <c r="W234" s="417"/>
      <c r="X234" s="471"/>
      <c r="Y234" s="471"/>
      <c r="Z234" s="471"/>
      <c r="AA234" s="471"/>
      <c r="AB234" s="471"/>
      <c r="AC234" s="471"/>
      <c r="AD234" s="474"/>
    </row>
    <row r="235" spans="2:30" x14ac:dyDescent="0.25">
      <c r="B235" s="417"/>
      <c r="C235" s="417"/>
      <c r="D235" s="417"/>
      <c r="E235" s="417"/>
      <c r="F235" s="417"/>
      <c r="G235" s="417"/>
      <c r="H235" s="417"/>
      <c r="I235" s="417"/>
      <c r="J235" s="417"/>
      <c r="K235" s="417"/>
      <c r="L235" s="417"/>
      <c r="M235" s="417"/>
      <c r="N235" s="417"/>
      <c r="O235" s="417"/>
      <c r="P235" s="417"/>
      <c r="Q235" s="417"/>
      <c r="R235" s="417"/>
      <c r="S235" s="417"/>
      <c r="T235" s="417"/>
      <c r="U235" s="471"/>
      <c r="V235" s="471"/>
      <c r="W235" s="417"/>
      <c r="X235" s="471"/>
      <c r="Y235" s="471"/>
      <c r="Z235" s="471"/>
      <c r="AA235" s="471"/>
      <c r="AB235" s="471"/>
      <c r="AC235" s="471"/>
      <c r="AD235" s="474"/>
    </row>
    <row r="236" spans="2:30" x14ac:dyDescent="0.25">
      <c r="B236" s="417"/>
      <c r="C236" s="417"/>
      <c r="D236" s="417"/>
      <c r="E236" s="417"/>
      <c r="F236" s="417"/>
      <c r="G236" s="417"/>
      <c r="H236" s="417"/>
      <c r="I236" s="417"/>
      <c r="J236" s="417"/>
      <c r="K236" s="417"/>
      <c r="L236" s="417"/>
      <c r="M236" s="417"/>
      <c r="N236" s="417"/>
      <c r="O236" s="417"/>
      <c r="P236" s="417"/>
      <c r="Q236" s="417"/>
      <c r="R236" s="417"/>
      <c r="S236" s="417"/>
      <c r="T236" s="417"/>
      <c r="U236" s="471"/>
      <c r="V236" s="471"/>
      <c r="W236" s="417"/>
      <c r="X236" s="471"/>
      <c r="Y236" s="471"/>
      <c r="Z236" s="471"/>
      <c r="AA236" s="471"/>
      <c r="AB236" s="471"/>
      <c r="AC236" s="471"/>
      <c r="AD236" s="474"/>
    </row>
    <row r="237" spans="2:30" x14ac:dyDescent="0.25">
      <c r="B237" s="417"/>
      <c r="C237" s="417"/>
      <c r="D237" s="417"/>
      <c r="E237" s="417"/>
      <c r="F237" s="417"/>
      <c r="G237" s="417"/>
      <c r="H237" s="417"/>
      <c r="I237" s="417"/>
      <c r="J237" s="417"/>
      <c r="K237" s="417"/>
      <c r="L237" s="417"/>
      <c r="M237" s="417"/>
      <c r="N237" s="417"/>
      <c r="O237" s="417"/>
      <c r="P237" s="417"/>
      <c r="Q237" s="417"/>
      <c r="R237" s="417"/>
      <c r="S237" s="417"/>
      <c r="T237" s="417"/>
      <c r="U237" s="471"/>
      <c r="V237" s="471"/>
      <c r="W237" s="417"/>
      <c r="X237" s="471"/>
      <c r="Y237" s="471"/>
      <c r="Z237" s="471"/>
      <c r="AA237" s="471"/>
      <c r="AB237" s="471"/>
      <c r="AC237" s="471"/>
      <c r="AD237" s="474"/>
    </row>
    <row r="238" spans="2:30" x14ac:dyDescent="0.25">
      <c r="B238" s="417"/>
      <c r="C238" s="417"/>
      <c r="D238" s="417"/>
      <c r="E238" s="417"/>
      <c r="F238" s="417"/>
      <c r="G238" s="417"/>
      <c r="H238" s="417"/>
      <c r="I238" s="417"/>
      <c r="J238" s="417"/>
      <c r="K238" s="417"/>
      <c r="L238" s="417"/>
      <c r="M238" s="417"/>
      <c r="N238" s="417"/>
      <c r="O238" s="417"/>
      <c r="P238" s="417"/>
      <c r="Q238" s="417"/>
      <c r="R238" s="417"/>
      <c r="S238" s="417"/>
      <c r="T238" s="417"/>
      <c r="U238" s="471"/>
      <c r="V238" s="471"/>
      <c r="W238" s="417"/>
      <c r="X238" s="471"/>
      <c r="Y238" s="471"/>
      <c r="Z238" s="471"/>
      <c r="AA238" s="471"/>
      <c r="AB238" s="471"/>
      <c r="AC238" s="471"/>
      <c r="AD238" s="474"/>
    </row>
    <row r="239" spans="2:30" x14ac:dyDescent="0.25">
      <c r="B239" s="417"/>
      <c r="C239" s="417"/>
      <c r="D239" s="417"/>
      <c r="E239" s="417"/>
      <c r="F239" s="417"/>
      <c r="G239" s="417"/>
      <c r="H239" s="417"/>
      <c r="I239" s="417"/>
      <c r="J239" s="417"/>
      <c r="K239" s="417"/>
      <c r="L239" s="417"/>
      <c r="M239" s="417"/>
      <c r="N239" s="417"/>
      <c r="O239" s="417"/>
      <c r="P239" s="417"/>
      <c r="Q239" s="417"/>
      <c r="R239" s="417"/>
      <c r="S239" s="417"/>
      <c r="T239" s="417"/>
      <c r="U239" s="471"/>
      <c r="V239" s="471"/>
      <c r="W239" s="417"/>
      <c r="X239" s="471"/>
      <c r="Y239" s="471"/>
      <c r="Z239" s="471"/>
      <c r="AA239" s="471"/>
      <c r="AB239" s="471"/>
      <c r="AC239" s="471"/>
      <c r="AD239" s="474"/>
    </row>
    <row r="240" spans="2:30" x14ac:dyDescent="0.25">
      <c r="B240" s="417"/>
      <c r="C240" s="417"/>
      <c r="D240" s="417"/>
      <c r="E240" s="417"/>
      <c r="F240" s="417"/>
      <c r="G240" s="417"/>
      <c r="H240" s="417"/>
      <c r="I240" s="417"/>
      <c r="J240" s="417"/>
      <c r="K240" s="417"/>
      <c r="L240" s="417"/>
      <c r="M240" s="417"/>
      <c r="N240" s="417"/>
      <c r="O240" s="417"/>
      <c r="P240" s="417"/>
      <c r="Q240" s="417"/>
      <c r="R240" s="417"/>
      <c r="S240" s="417"/>
      <c r="T240" s="417"/>
      <c r="U240" s="471"/>
      <c r="V240" s="471"/>
      <c r="W240" s="417"/>
      <c r="X240" s="471"/>
      <c r="Y240" s="471"/>
      <c r="Z240" s="471"/>
      <c r="AA240" s="471"/>
      <c r="AB240" s="471"/>
      <c r="AC240" s="471"/>
      <c r="AD240" s="474"/>
    </row>
    <row r="241" spans="2:30" x14ac:dyDescent="0.25">
      <c r="B241" s="417"/>
      <c r="C241" s="417"/>
      <c r="D241" s="417"/>
      <c r="E241" s="417"/>
      <c r="F241" s="417"/>
      <c r="G241" s="417"/>
      <c r="H241" s="417"/>
      <c r="I241" s="417"/>
      <c r="J241" s="417"/>
      <c r="K241" s="417"/>
      <c r="L241" s="417"/>
      <c r="M241" s="417"/>
      <c r="N241" s="417"/>
      <c r="O241" s="417"/>
      <c r="P241" s="417"/>
      <c r="Q241" s="417"/>
      <c r="R241" s="417"/>
      <c r="S241" s="417"/>
      <c r="T241" s="417"/>
      <c r="U241" s="471"/>
      <c r="V241" s="471"/>
      <c r="W241" s="417"/>
      <c r="X241" s="471"/>
      <c r="Y241" s="471"/>
      <c r="Z241" s="471"/>
      <c r="AA241" s="471"/>
      <c r="AB241" s="471"/>
      <c r="AC241" s="471"/>
      <c r="AD241" s="474"/>
    </row>
    <row r="242" spans="2:30" x14ac:dyDescent="0.25">
      <c r="B242" s="417"/>
      <c r="C242" s="417"/>
      <c r="D242" s="417"/>
      <c r="E242" s="417"/>
      <c r="F242" s="417"/>
      <c r="G242" s="417"/>
      <c r="H242" s="417"/>
      <c r="I242" s="417"/>
      <c r="J242" s="417"/>
      <c r="K242" s="417"/>
      <c r="L242" s="417"/>
      <c r="M242" s="417"/>
      <c r="N242" s="417"/>
      <c r="O242" s="417"/>
      <c r="P242" s="417"/>
      <c r="Q242" s="417"/>
      <c r="R242" s="417"/>
      <c r="S242" s="417"/>
      <c r="T242" s="417"/>
      <c r="U242" s="471"/>
      <c r="V242" s="471"/>
      <c r="W242" s="417"/>
      <c r="X242" s="471"/>
      <c r="Y242" s="471"/>
      <c r="Z242" s="471"/>
      <c r="AA242" s="471"/>
      <c r="AB242" s="471"/>
      <c r="AC242" s="471"/>
      <c r="AD242" s="474"/>
    </row>
    <row r="243" spans="2:30" x14ac:dyDescent="0.25">
      <c r="B243" s="417"/>
      <c r="C243" s="417"/>
      <c r="D243" s="417"/>
      <c r="E243" s="417"/>
      <c r="F243" s="417"/>
      <c r="G243" s="417"/>
      <c r="H243" s="417"/>
      <c r="I243" s="417"/>
      <c r="J243" s="417"/>
      <c r="K243" s="417"/>
      <c r="L243" s="417"/>
      <c r="M243" s="417"/>
      <c r="N243" s="417"/>
      <c r="O243" s="417"/>
      <c r="P243" s="417"/>
      <c r="Q243" s="417"/>
      <c r="R243" s="417"/>
      <c r="S243" s="417"/>
      <c r="T243" s="417"/>
      <c r="U243" s="471"/>
      <c r="V243" s="471"/>
      <c r="W243" s="417"/>
      <c r="X243" s="471"/>
      <c r="Y243" s="471"/>
      <c r="Z243" s="471"/>
      <c r="AA243" s="471"/>
      <c r="AB243" s="471"/>
      <c r="AC243" s="471"/>
      <c r="AD243" s="474"/>
    </row>
    <row r="244" spans="2:30" x14ac:dyDescent="0.25">
      <c r="B244" s="417"/>
      <c r="C244" s="417"/>
      <c r="D244" s="417"/>
      <c r="E244" s="417"/>
      <c r="F244" s="417"/>
      <c r="G244" s="417"/>
      <c r="H244" s="417"/>
      <c r="I244" s="417"/>
      <c r="J244" s="417"/>
      <c r="K244" s="417"/>
      <c r="L244" s="417"/>
      <c r="M244" s="417"/>
      <c r="N244" s="417"/>
      <c r="O244" s="417"/>
      <c r="P244" s="417"/>
      <c r="Q244" s="417"/>
      <c r="R244" s="417"/>
      <c r="S244" s="417"/>
      <c r="T244" s="417"/>
      <c r="U244" s="471"/>
      <c r="V244" s="471"/>
      <c r="W244" s="417"/>
      <c r="X244" s="471"/>
      <c r="Y244" s="471"/>
      <c r="Z244" s="471"/>
      <c r="AA244" s="471"/>
      <c r="AB244" s="471"/>
      <c r="AC244" s="471"/>
      <c r="AD244" s="474"/>
    </row>
    <row r="245" spans="2:30" x14ac:dyDescent="0.25">
      <c r="B245" s="417"/>
      <c r="C245" s="417"/>
      <c r="D245" s="417"/>
      <c r="E245" s="417"/>
      <c r="F245" s="417"/>
      <c r="G245" s="417"/>
      <c r="H245" s="417"/>
      <c r="I245" s="417"/>
      <c r="J245" s="417"/>
      <c r="K245" s="417"/>
      <c r="L245" s="417"/>
      <c r="M245" s="417"/>
      <c r="N245" s="417"/>
      <c r="O245" s="417"/>
      <c r="P245" s="417"/>
      <c r="Q245" s="417"/>
      <c r="R245" s="417"/>
      <c r="S245" s="417"/>
      <c r="T245" s="417"/>
      <c r="U245" s="471"/>
      <c r="V245" s="471"/>
      <c r="W245" s="417"/>
      <c r="X245" s="471"/>
      <c r="Y245" s="471"/>
      <c r="Z245" s="471"/>
      <c r="AA245" s="471"/>
      <c r="AB245" s="471"/>
      <c r="AC245" s="471"/>
      <c r="AD245" s="474"/>
    </row>
    <row r="246" spans="2:30" x14ac:dyDescent="0.25">
      <c r="B246" s="417"/>
      <c r="C246" s="417"/>
      <c r="D246" s="417"/>
      <c r="E246" s="417"/>
      <c r="F246" s="417"/>
      <c r="G246" s="417"/>
      <c r="H246" s="417"/>
      <c r="I246" s="417"/>
      <c r="J246" s="417"/>
      <c r="K246" s="417"/>
      <c r="L246" s="417"/>
      <c r="M246" s="417"/>
      <c r="N246" s="417"/>
      <c r="O246" s="417"/>
      <c r="P246" s="417"/>
      <c r="Q246" s="417"/>
      <c r="R246" s="417"/>
      <c r="S246" s="417"/>
      <c r="T246" s="417"/>
      <c r="U246" s="471"/>
      <c r="V246" s="471"/>
      <c r="W246" s="417"/>
      <c r="X246" s="471"/>
      <c r="Y246" s="471"/>
      <c r="Z246" s="471"/>
      <c r="AA246" s="471"/>
      <c r="AB246" s="471"/>
      <c r="AC246" s="471"/>
      <c r="AD246" s="474"/>
    </row>
    <row r="247" spans="2:30" x14ac:dyDescent="0.25">
      <c r="B247" s="417"/>
      <c r="C247" s="417"/>
      <c r="D247" s="417"/>
      <c r="E247" s="417"/>
      <c r="F247" s="417"/>
      <c r="G247" s="417"/>
      <c r="H247" s="417"/>
      <c r="I247" s="417"/>
      <c r="J247" s="417"/>
      <c r="K247" s="417"/>
      <c r="L247" s="417"/>
      <c r="M247" s="417"/>
      <c r="N247" s="417"/>
      <c r="O247" s="417"/>
      <c r="P247" s="417"/>
      <c r="Q247" s="417"/>
      <c r="R247" s="417"/>
      <c r="S247" s="417"/>
      <c r="T247" s="417"/>
      <c r="U247" s="471"/>
      <c r="V247" s="471"/>
      <c r="W247" s="417"/>
      <c r="X247" s="471"/>
      <c r="Y247" s="471"/>
      <c r="Z247" s="471"/>
      <c r="AA247" s="471"/>
      <c r="AB247" s="471"/>
      <c r="AC247" s="471"/>
      <c r="AD247" s="474"/>
    </row>
    <row r="248" spans="2:30" x14ac:dyDescent="0.25">
      <c r="B248" s="417"/>
      <c r="C248" s="417"/>
      <c r="D248" s="417"/>
      <c r="E248" s="417"/>
      <c r="F248" s="417"/>
      <c r="G248" s="417"/>
      <c r="H248" s="417"/>
      <c r="I248" s="417"/>
      <c r="J248" s="417"/>
      <c r="K248" s="417"/>
      <c r="L248" s="417"/>
      <c r="M248" s="417"/>
      <c r="N248" s="417"/>
      <c r="O248" s="417"/>
      <c r="P248" s="417"/>
      <c r="Q248" s="417"/>
      <c r="R248" s="417"/>
      <c r="S248" s="417"/>
      <c r="T248" s="417"/>
      <c r="U248" s="471"/>
      <c r="V248" s="471"/>
      <c r="W248" s="417"/>
      <c r="X248" s="471"/>
      <c r="Y248" s="471"/>
      <c r="Z248" s="471"/>
      <c r="AA248" s="471"/>
      <c r="AB248" s="471"/>
      <c r="AC248" s="471"/>
      <c r="AD248" s="474"/>
    </row>
    <row r="249" spans="2:30" x14ac:dyDescent="0.25">
      <c r="B249" s="417"/>
      <c r="C249" s="417"/>
      <c r="D249" s="417"/>
      <c r="E249" s="417"/>
      <c r="F249" s="417"/>
      <c r="G249" s="417"/>
      <c r="H249" s="417"/>
      <c r="I249" s="417"/>
      <c r="J249" s="417"/>
      <c r="K249" s="417"/>
      <c r="L249" s="417"/>
      <c r="M249" s="417"/>
      <c r="N249" s="417"/>
      <c r="O249" s="417"/>
      <c r="P249" s="417"/>
      <c r="Q249" s="417"/>
      <c r="R249" s="417"/>
      <c r="S249" s="417"/>
      <c r="T249" s="417"/>
      <c r="U249" s="471"/>
      <c r="V249" s="471"/>
      <c r="W249" s="417"/>
      <c r="X249" s="471"/>
      <c r="Y249" s="471"/>
      <c r="Z249" s="471"/>
      <c r="AA249" s="471"/>
      <c r="AB249" s="471"/>
      <c r="AC249" s="471"/>
      <c r="AD249" s="474"/>
    </row>
    <row r="250" spans="2:30" x14ac:dyDescent="0.25">
      <c r="B250" s="417"/>
      <c r="C250" s="417"/>
      <c r="D250" s="417"/>
      <c r="E250" s="417"/>
      <c r="F250" s="417"/>
      <c r="G250" s="417"/>
      <c r="H250" s="417"/>
      <c r="I250" s="417"/>
      <c r="J250" s="417"/>
      <c r="K250" s="417"/>
      <c r="L250" s="417"/>
      <c r="M250" s="417"/>
      <c r="N250" s="417"/>
      <c r="O250" s="417"/>
      <c r="P250" s="417"/>
      <c r="Q250" s="417"/>
      <c r="R250" s="417"/>
      <c r="S250" s="417"/>
      <c r="T250" s="417"/>
      <c r="U250" s="471"/>
      <c r="V250" s="471"/>
      <c r="W250" s="417"/>
      <c r="X250" s="471"/>
      <c r="Y250" s="471"/>
      <c r="Z250" s="471"/>
      <c r="AA250" s="471"/>
      <c r="AB250" s="471"/>
      <c r="AC250" s="471"/>
      <c r="AD250" s="474"/>
    </row>
    <row r="251" spans="2:30" x14ac:dyDescent="0.25">
      <c r="B251" s="417"/>
      <c r="C251" s="417"/>
      <c r="D251" s="417"/>
      <c r="E251" s="417"/>
      <c r="F251" s="417"/>
      <c r="G251" s="417"/>
      <c r="H251" s="417"/>
      <c r="I251" s="417"/>
      <c r="J251" s="417"/>
      <c r="K251" s="417"/>
      <c r="L251" s="417"/>
      <c r="M251" s="417"/>
      <c r="N251" s="417"/>
      <c r="O251" s="417"/>
      <c r="P251" s="417"/>
      <c r="Q251" s="417"/>
      <c r="R251" s="417"/>
      <c r="S251" s="417"/>
      <c r="T251" s="417"/>
      <c r="U251" s="471"/>
      <c r="V251" s="471"/>
      <c r="W251" s="417"/>
      <c r="X251" s="471"/>
      <c r="Y251" s="471"/>
      <c r="Z251" s="471"/>
      <c r="AA251" s="471"/>
      <c r="AB251" s="471"/>
      <c r="AC251" s="471"/>
      <c r="AD251" s="474"/>
    </row>
    <row r="252" spans="2:30" x14ac:dyDescent="0.25">
      <c r="B252" s="417"/>
      <c r="C252" s="417"/>
      <c r="D252" s="417"/>
      <c r="E252" s="417"/>
      <c r="F252" s="417"/>
      <c r="G252" s="417"/>
      <c r="H252" s="417"/>
      <c r="I252" s="417"/>
      <c r="J252" s="417"/>
      <c r="K252" s="417"/>
      <c r="L252" s="417"/>
      <c r="M252" s="417"/>
      <c r="N252" s="417"/>
      <c r="O252" s="417"/>
      <c r="P252" s="417"/>
      <c r="Q252" s="417"/>
      <c r="R252" s="417"/>
      <c r="S252" s="417"/>
      <c r="T252" s="417"/>
      <c r="U252" s="471"/>
      <c r="V252" s="471"/>
      <c r="W252" s="417"/>
      <c r="X252" s="471"/>
      <c r="Y252" s="471"/>
      <c r="Z252" s="471"/>
      <c r="AA252" s="471"/>
      <c r="AB252" s="471"/>
      <c r="AC252" s="471"/>
      <c r="AD252" s="474"/>
    </row>
    <row r="253" spans="2:30" x14ac:dyDescent="0.25">
      <c r="B253" s="417"/>
      <c r="C253" s="417"/>
      <c r="D253" s="417"/>
      <c r="E253" s="417"/>
      <c r="F253" s="417"/>
      <c r="G253" s="417"/>
      <c r="H253" s="417"/>
      <c r="I253" s="417"/>
      <c r="J253" s="417"/>
      <c r="K253" s="417"/>
      <c r="L253" s="417"/>
      <c r="M253" s="417"/>
      <c r="N253" s="417"/>
      <c r="O253" s="417"/>
      <c r="P253" s="417"/>
      <c r="Q253" s="417"/>
      <c r="R253" s="417"/>
      <c r="S253" s="417"/>
      <c r="T253" s="417"/>
      <c r="U253" s="471"/>
      <c r="V253" s="471"/>
      <c r="W253" s="417"/>
      <c r="X253" s="471"/>
      <c r="Y253" s="471"/>
      <c r="Z253" s="471"/>
      <c r="AA253" s="471"/>
      <c r="AB253" s="471"/>
      <c r="AC253" s="471"/>
      <c r="AD253" s="474"/>
    </row>
    <row r="254" spans="2:30" x14ac:dyDescent="0.25">
      <c r="B254" s="417"/>
      <c r="C254" s="417"/>
      <c r="D254" s="417"/>
      <c r="E254" s="417"/>
      <c r="F254" s="417"/>
      <c r="G254" s="417"/>
      <c r="H254" s="417"/>
      <c r="I254" s="417"/>
      <c r="J254" s="417"/>
      <c r="K254" s="417"/>
      <c r="L254" s="417"/>
      <c r="M254" s="417"/>
      <c r="N254" s="417"/>
      <c r="O254" s="417"/>
      <c r="P254" s="417"/>
      <c r="Q254" s="417"/>
      <c r="R254" s="417"/>
      <c r="S254" s="417"/>
      <c r="T254" s="417"/>
      <c r="U254" s="471"/>
      <c r="V254" s="471"/>
      <c r="W254" s="417"/>
      <c r="X254" s="471"/>
      <c r="Y254" s="471"/>
      <c r="Z254" s="471"/>
      <c r="AA254" s="471"/>
      <c r="AB254" s="471"/>
      <c r="AC254" s="471"/>
      <c r="AD254" s="474"/>
    </row>
    <row r="255" spans="2:30" x14ac:dyDescent="0.25">
      <c r="B255" s="417"/>
      <c r="C255" s="417"/>
      <c r="D255" s="417"/>
      <c r="E255" s="417"/>
      <c r="F255" s="417"/>
      <c r="G255" s="417"/>
      <c r="H255" s="417"/>
      <c r="I255" s="417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17"/>
      <c r="U255" s="471"/>
      <c r="V255" s="471"/>
      <c r="W255" s="417"/>
      <c r="X255" s="471"/>
      <c r="Y255" s="471"/>
      <c r="Z255" s="471"/>
      <c r="AA255" s="471"/>
      <c r="AB255" s="471"/>
      <c r="AC255" s="471"/>
      <c r="AD255" s="474"/>
    </row>
    <row r="256" spans="2:30" x14ac:dyDescent="0.25">
      <c r="B256" s="417"/>
      <c r="C256" s="417"/>
      <c r="D256" s="417"/>
      <c r="E256" s="417"/>
      <c r="F256" s="417"/>
      <c r="G256" s="417"/>
      <c r="H256" s="417"/>
      <c r="I256" s="417"/>
      <c r="J256" s="417"/>
      <c r="K256" s="417"/>
      <c r="L256" s="417"/>
      <c r="M256" s="417"/>
      <c r="N256" s="417"/>
      <c r="O256" s="417"/>
      <c r="P256" s="417"/>
      <c r="Q256" s="417"/>
      <c r="R256" s="417"/>
      <c r="S256" s="417"/>
      <c r="T256" s="417"/>
      <c r="U256" s="471"/>
      <c r="V256" s="471"/>
      <c r="W256" s="417"/>
      <c r="X256" s="471"/>
      <c r="Y256" s="471"/>
      <c r="Z256" s="471"/>
      <c r="AA256" s="471"/>
      <c r="AB256" s="471"/>
      <c r="AC256" s="471"/>
      <c r="AD256" s="474"/>
    </row>
    <row r="257" spans="2:30" x14ac:dyDescent="0.25">
      <c r="B257" s="417"/>
      <c r="C257" s="417"/>
      <c r="D257" s="417"/>
      <c r="E257" s="417"/>
      <c r="F257" s="417"/>
      <c r="G257" s="417"/>
      <c r="H257" s="417"/>
      <c r="I257" s="417"/>
      <c r="J257" s="417"/>
      <c r="K257" s="417"/>
      <c r="L257" s="417"/>
      <c r="M257" s="417"/>
      <c r="N257" s="417"/>
      <c r="O257" s="417"/>
      <c r="P257" s="417"/>
      <c r="Q257" s="417"/>
      <c r="R257" s="417"/>
      <c r="S257" s="417"/>
      <c r="T257" s="417"/>
      <c r="U257" s="471"/>
      <c r="V257" s="471"/>
      <c r="W257" s="417"/>
      <c r="X257" s="471"/>
      <c r="Y257" s="471"/>
      <c r="Z257" s="471"/>
      <c r="AA257" s="471"/>
      <c r="AB257" s="471"/>
      <c r="AC257" s="471"/>
      <c r="AD257" s="474"/>
    </row>
    <row r="258" spans="2:30" x14ac:dyDescent="0.25">
      <c r="B258" s="417"/>
      <c r="C258" s="417"/>
      <c r="D258" s="417"/>
      <c r="E258" s="417"/>
      <c r="F258" s="417"/>
      <c r="G258" s="417"/>
      <c r="H258" s="417"/>
      <c r="I258" s="417"/>
      <c r="J258" s="417"/>
      <c r="K258" s="417"/>
      <c r="L258" s="417"/>
      <c r="M258" s="417"/>
      <c r="N258" s="417"/>
      <c r="O258" s="417"/>
      <c r="P258" s="417"/>
      <c r="Q258" s="417"/>
      <c r="R258" s="417"/>
      <c r="S258" s="417"/>
      <c r="T258" s="417"/>
      <c r="U258" s="471"/>
      <c r="V258" s="471"/>
      <c r="W258" s="417"/>
      <c r="X258" s="471"/>
      <c r="Y258" s="471"/>
      <c r="Z258" s="471"/>
      <c r="AA258" s="471"/>
      <c r="AB258" s="471"/>
      <c r="AC258" s="471"/>
      <c r="AD258" s="474"/>
    </row>
    <row r="259" spans="2:30" x14ac:dyDescent="0.25">
      <c r="B259" s="417"/>
      <c r="C259" s="417"/>
      <c r="D259" s="417"/>
      <c r="E259" s="417"/>
      <c r="F259" s="417"/>
      <c r="G259" s="417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  <c r="R259" s="417"/>
      <c r="S259" s="417"/>
      <c r="T259" s="417"/>
      <c r="U259" s="471"/>
      <c r="V259" s="471"/>
      <c r="W259" s="417"/>
      <c r="X259" s="471"/>
      <c r="Y259" s="471"/>
      <c r="Z259" s="471"/>
      <c r="AA259" s="471"/>
      <c r="AB259" s="471"/>
      <c r="AC259" s="471"/>
      <c r="AD259" s="474"/>
    </row>
    <row r="260" spans="2:30" x14ac:dyDescent="0.25">
      <c r="B260" s="417"/>
      <c r="C260" s="417"/>
      <c r="D260" s="417"/>
      <c r="E260" s="417"/>
      <c r="F260" s="417"/>
      <c r="G260" s="417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71"/>
      <c r="V260" s="471"/>
      <c r="W260" s="417"/>
      <c r="X260" s="471"/>
      <c r="Y260" s="471"/>
      <c r="Z260" s="471"/>
      <c r="AA260" s="471"/>
      <c r="AB260" s="471"/>
      <c r="AC260" s="471"/>
      <c r="AD260" s="474"/>
    </row>
    <row r="261" spans="2:30" x14ac:dyDescent="0.25">
      <c r="B261" s="417"/>
      <c r="C261" s="417"/>
      <c r="D261" s="417"/>
      <c r="E261" s="417"/>
      <c r="F261" s="417"/>
      <c r="G261" s="417"/>
      <c r="H261" s="417"/>
      <c r="I261" s="417"/>
      <c r="J261" s="417"/>
      <c r="K261" s="417"/>
      <c r="L261" s="417"/>
      <c r="M261" s="417"/>
      <c r="N261" s="417"/>
      <c r="O261" s="417"/>
      <c r="P261" s="417"/>
      <c r="Q261" s="417"/>
      <c r="R261" s="417"/>
      <c r="S261" s="417"/>
      <c r="T261" s="417"/>
      <c r="U261" s="471"/>
      <c r="V261" s="471"/>
      <c r="W261" s="417"/>
      <c r="X261" s="471"/>
      <c r="Y261" s="471"/>
      <c r="Z261" s="471"/>
      <c r="AA261" s="471"/>
      <c r="AB261" s="471"/>
      <c r="AC261" s="471"/>
      <c r="AD261" s="474"/>
    </row>
    <row r="262" spans="2:30" x14ac:dyDescent="0.25">
      <c r="B262" s="417"/>
      <c r="C262" s="417"/>
      <c r="D262" s="417"/>
      <c r="E262" s="417"/>
      <c r="F262" s="417"/>
      <c r="G262" s="417"/>
      <c r="H262" s="417"/>
      <c r="I262" s="417"/>
      <c r="J262" s="417"/>
      <c r="K262" s="417"/>
      <c r="L262" s="417"/>
      <c r="M262" s="417"/>
      <c r="N262" s="417"/>
      <c r="O262" s="417"/>
      <c r="P262" s="417"/>
      <c r="Q262" s="417"/>
      <c r="R262" s="417"/>
      <c r="S262" s="417"/>
      <c r="T262" s="417"/>
      <c r="U262" s="471"/>
      <c r="V262" s="471"/>
      <c r="W262" s="417"/>
      <c r="X262" s="471"/>
      <c r="Y262" s="471"/>
      <c r="Z262" s="471"/>
      <c r="AA262" s="471"/>
      <c r="AB262" s="471"/>
      <c r="AC262" s="471"/>
      <c r="AD262" s="474"/>
    </row>
    <row r="263" spans="2:30" x14ac:dyDescent="0.25">
      <c r="B263" s="417"/>
      <c r="C263" s="417"/>
      <c r="D263" s="417"/>
      <c r="E263" s="417"/>
      <c r="F263" s="417"/>
      <c r="G263" s="417"/>
      <c r="H263" s="417"/>
      <c r="I263" s="417"/>
      <c r="J263" s="417"/>
      <c r="K263" s="417"/>
      <c r="L263" s="417"/>
      <c r="M263" s="417"/>
      <c r="N263" s="417"/>
      <c r="O263" s="417"/>
      <c r="P263" s="417"/>
      <c r="Q263" s="417"/>
      <c r="R263" s="417"/>
      <c r="S263" s="417"/>
      <c r="T263" s="417"/>
      <c r="U263" s="471"/>
      <c r="V263" s="471"/>
      <c r="W263" s="417"/>
      <c r="X263" s="471"/>
      <c r="Y263" s="471"/>
      <c r="Z263" s="471"/>
      <c r="AA263" s="471"/>
      <c r="AB263" s="471"/>
      <c r="AC263" s="471"/>
      <c r="AD263" s="474"/>
    </row>
    <row r="264" spans="2:30" x14ac:dyDescent="0.25">
      <c r="B264" s="417"/>
      <c r="C264" s="417"/>
      <c r="D264" s="417"/>
      <c r="E264" s="417"/>
      <c r="F264" s="417"/>
      <c r="G264" s="417"/>
      <c r="H264" s="417"/>
      <c r="I264" s="417"/>
      <c r="J264" s="417"/>
      <c r="K264" s="417"/>
      <c r="L264" s="417"/>
      <c r="M264" s="417"/>
      <c r="N264" s="417"/>
      <c r="O264" s="417"/>
      <c r="P264" s="417"/>
      <c r="Q264" s="417"/>
      <c r="R264" s="417"/>
      <c r="S264" s="417"/>
      <c r="T264" s="417"/>
      <c r="U264" s="471"/>
      <c r="V264" s="471"/>
      <c r="W264" s="417"/>
      <c r="X264" s="471"/>
      <c r="Y264" s="471"/>
      <c r="Z264" s="471"/>
      <c r="AA264" s="471"/>
      <c r="AB264" s="471"/>
      <c r="AC264" s="471"/>
      <c r="AD264" s="474"/>
    </row>
    <row r="265" spans="2:30" x14ac:dyDescent="0.25">
      <c r="B265" s="417"/>
      <c r="C265" s="417"/>
      <c r="D265" s="417"/>
      <c r="E265" s="417"/>
      <c r="F265" s="417"/>
      <c r="G265" s="417"/>
      <c r="H265" s="417"/>
      <c r="I265" s="417"/>
      <c r="J265" s="417"/>
      <c r="K265" s="417"/>
      <c r="L265" s="417"/>
      <c r="M265" s="417"/>
      <c r="N265" s="417"/>
      <c r="O265" s="417"/>
      <c r="P265" s="417"/>
      <c r="Q265" s="417"/>
      <c r="R265" s="417"/>
      <c r="S265" s="417"/>
      <c r="T265" s="417"/>
      <c r="U265" s="471"/>
      <c r="V265" s="471"/>
      <c r="W265" s="417"/>
      <c r="X265" s="471"/>
      <c r="Y265" s="471"/>
      <c r="Z265" s="471"/>
      <c r="AA265" s="471"/>
      <c r="AB265" s="471"/>
      <c r="AC265" s="471"/>
      <c r="AD265" s="474"/>
    </row>
    <row r="266" spans="2:30" x14ac:dyDescent="0.25">
      <c r="B266" s="417"/>
      <c r="C266" s="417"/>
      <c r="D266" s="417"/>
      <c r="E266" s="417"/>
      <c r="F266" s="417"/>
      <c r="G266" s="417"/>
      <c r="H266" s="417"/>
      <c r="I266" s="417"/>
      <c r="J266" s="417"/>
      <c r="K266" s="417"/>
      <c r="L266" s="417"/>
      <c r="M266" s="417"/>
      <c r="N266" s="417"/>
      <c r="O266" s="417"/>
      <c r="P266" s="417"/>
      <c r="Q266" s="417"/>
      <c r="R266" s="417"/>
      <c r="S266" s="417"/>
      <c r="T266" s="417"/>
      <c r="U266" s="471"/>
      <c r="V266" s="471"/>
      <c r="W266" s="417"/>
      <c r="X266" s="471"/>
      <c r="Y266" s="471"/>
      <c r="Z266" s="471"/>
      <c r="AA266" s="471"/>
      <c r="AB266" s="471"/>
      <c r="AC266" s="471"/>
      <c r="AD266" s="474"/>
    </row>
    <row r="267" spans="2:30" x14ac:dyDescent="0.25">
      <c r="B267" s="417"/>
      <c r="C267" s="417"/>
      <c r="D267" s="417"/>
      <c r="E267" s="417"/>
      <c r="F267" s="417"/>
      <c r="G267" s="417"/>
      <c r="H267" s="417"/>
      <c r="I267" s="417"/>
      <c r="J267" s="417"/>
      <c r="K267" s="417"/>
      <c r="L267" s="417"/>
      <c r="M267" s="417"/>
      <c r="N267" s="417"/>
      <c r="O267" s="417"/>
      <c r="P267" s="417"/>
      <c r="Q267" s="417"/>
      <c r="R267" s="417"/>
      <c r="S267" s="417"/>
      <c r="T267" s="417"/>
      <c r="U267" s="471"/>
      <c r="V267" s="471"/>
      <c r="W267" s="417"/>
      <c r="X267" s="471"/>
      <c r="Y267" s="471"/>
      <c r="Z267" s="471"/>
      <c r="AA267" s="471"/>
      <c r="AB267" s="471"/>
      <c r="AC267" s="471"/>
      <c r="AD267" s="474"/>
    </row>
    <row r="268" spans="2:30" x14ac:dyDescent="0.25">
      <c r="B268" s="417"/>
      <c r="C268" s="417"/>
      <c r="D268" s="417"/>
      <c r="E268" s="417"/>
      <c r="F268" s="417"/>
      <c r="G268" s="417"/>
      <c r="H268" s="417"/>
      <c r="I268" s="417"/>
      <c r="J268" s="417"/>
      <c r="K268" s="417"/>
      <c r="L268" s="417"/>
      <c r="M268" s="417"/>
      <c r="N268" s="417"/>
      <c r="O268" s="417"/>
      <c r="P268" s="417"/>
      <c r="Q268" s="417"/>
      <c r="R268" s="417"/>
      <c r="S268" s="417"/>
      <c r="T268" s="417"/>
      <c r="U268" s="471"/>
      <c r="V268" s="471"/>
      <c r="W268" s="417"/>
      <c r="X268" s="471"/>
      <c r="Y268" s="471"/>
      <c r="Z268" s="471"/>
      <c r="AA268" s="471"/>
      <c r="AB268" s="471"/>
      <c r="AC268" s="471"/>
      <c r="AD268" s="474"/>
    </row>
    <row r="269" spans="2:30" x14ac:dyDescent="0.25">
      <c r="B269" s="417"/>
      <c r="C269" s="417"/>
      <c r="D269" s="417"/>
      <c r="E269" s="417"/>
      <c r="F269" s="417"/>
      <c r="G269" s="417"/>
      <c r="H269" s="417"/>
      <c r="I269" s="417"/>
      <c r="J269" s="417"/>
      <c r="K269" s="417"/>
      <c r="L269" s="417"/>
      <c r="M269" s="417"/>
      <c r="N269" s="417"/>
      <c r="O269" s="417"/>
      <c r="P269" s="417"/>
      <c r="Q269" s="417"/>
      <c r="R269" s="417"/>
      <c r="S269" s="417"/>
      <c r="T269" s="417"/>
      <c r="U269" s="471"/>
      <c r="V269" s="471"/>
      <c r="W269" s="417"/>
      <c r="X269" s="471"/>
      <c r="Y269" s="471"/>
      <c r="Z269" s="471"/>
      <c r="AA269" s="471"/>
      <c r="AB269" s="471"/>
      <c r="AC269" s="471"/>
      <c r="AD269" s="474"/>
    </row>
    <row r="270" spans="2:30" x14ac:dyDescent="0.25">
      <c r="B270" s="417"/>
      <c r="C270" s="417"/>
      <c r="D270" s="417"/>
      <c r="E270" s="417"/>
      <c r="F270" s="417"/>
      <c r="G270" s="417"/>
      <c r="H270" s="417"/>
      <c r="I270" s="417"/>
      <c r="J270" s="417"/>
      <c r="K270" s="417"/>
      <c r="L270" s="417"/>
      <c r="M270" s="417"/>
      <c r="N270" s="417"/>
      <c r="O270" s="417"/>
      <c r="P270" s="417"/>
      <c r="Q270" s="417"/>
      <c r="R270" s="417"/>
      <c r="S270" s="417"/>
      <c r="T270" s="417"/>
      <c r="U270" s="471"/>
      <c r="V270" s="471"/>
      <c r="W270" s="417"/>
      <c r="X270" s="471"/>
      <c r="Y270" s="471"/>
      <c r="Z270" s="471"/>
      <c r="AA270" s="471"/>
      <c r="AB270" s="471"/>
      <c r="AC270" s="471"/>
      <c r="AD270" s="474"/>
    </row>
    <row r="271" spans="2:30" x14ac:dyDescent="0.25">
      <c r="B271" s="417"/>
      <c r="C271" s="417"/>
      <c r="D271" s="417"/>
      <c r="E271" s="417"/>
      <c r="F271" s="417"/>
      <c r="G271" s="417"/>
      <c r="H271" s="417"/>
      <c r="I271" s="417"/>
      <c r="J271" s="417"/>
      <c r="K271" s="417"/>
      <c r="L271" s="417"/>
      <c r="M271" s="417"/>
      <c r="N271" s="417"/>
      <c r="O271" s="417"/>
      <c r="P271" s="417"/>
      <c r="Q271" s="417"/>
      <c r="R271" s="417"/>
      <c r="S271" s="417"/>
      <c r="T271" s="417"/>
      <c r="U271" s="471"/>
      <c r="V271" s="471"/>
      <c r="W271" s="417"/>
      <c r="X271" s="471"/>
      <c r="Y271" s="471"/>
      <c r="Z271" s="471"/>
      <c r="AA271" s="471"/>
      <c r="AB271" s="471"/>
      <c r="AC271" s="471"/>
      <c r="AD271" s="474"/>
    </row>
    <row r="272" spans="2:30" x14ac:dyDescent="0.25">
      <c r="B272" s="417"/>
      <c r="C272" s="417"/>
      <c r="D272" s="417"/>
      <c r="E272" s="417"/>
      <c r="F272" s="417"/>
      <c r="G272" s="417"/>
      <c r="H272" s="417"/>
      <c r="I272" s="417"/>
      <c r="J272" s="417"/>
      <c r="K272" s="417"/>
      <c r="L272" s="417"/>
      <c r="M272" s="417"/>
      <c r="N272" s="417"/>
      <c r="O272" s="417"/>
      <c r="P272" s="417"/>
      <c r="Q272" s="417"/>
      <c r="R272" s="417"/>
      <c r="S272" s="417"/>
      <c r="T272" s="417"/>
      <c r="U272" s="471"/>
      <c r="V272" s="471"/>
      <c r="W272" s="417"/>
      <c r="X272" s="471"/>
      <c r="Y272" s="471"/>
      <c r="Z272" s="471"/>
      <c r="AA272" s="471"/>
      <c r="AB272" s="471"/>
      <c r="AC272" s="471"/>
      <c r="AD272" s="474"/>
    </row>
    <row r="273" spans="2:30" x14ac:dyDescent="0.25">
      <c r="B273" s="417"/>
      <c r="C273" s="417"/>
      <c r="D273" s="417"/>
      <c r="E273" s="417"/>
      <c r="F273" s="417"/>
      <c r="G273" s="417"/>
      <c r="H273" s="417"/>
      <c r="I273" s="417"/>
      <c r="J273" s="417"/>
      <c r="K273" s="417"/>
      <c r="L273" s="417"/>
      <c r="M273" s="417"/>
      <c r="N273" s="417"/>
      <c r="O273" s="417"/>
      <c r="P273" s="417"/>
      <c r="Q273" s="417"/>
      <c r="R273" s="417"/>
      <c r="S273" s="417"/>
      <c r="T273" s="417"/>
      <c r="U273" s="471"/>
      <c r="V273" s="471"/>
      <c r="W273" s="417"/>
      <c r="X273" s="471"/>
      <c r="Y273" s="471"/>
      <c r="Z273" s="471"/>
      <c r="AA273" s="471"/>
      <c r="AB273" s="471"/>
      <c r="AC273" s="471"/>
      <c r="AD273" s="474"/>
    </row>
    <row r="274" spans="2:30" x14ac:dyDescent="0.25">
      <c r="B274" s="417"/>
      <c r="C274" s="417"/>
      <c r="D274" s="417"/>
      <c r="E274" s="417"/>
      <c r="F274" s="417"/>
      <c r="G274" s="417"/>
      <c r="H274" s="417"/>
      <c r="I274" s="417"/>
      <c r="J274" s="417"/>
      <c r="K274" s="417"/>
      <c r="L274" s="417"/>
      <c r="M274" s="417"/>
      <c r="N274" s="417"/>
      <c r="O274" s="417"/>
      <c r="P274" s="417"/>
      <c r="Q274" s="417"/>
      <c r="R274" s="417"/>
      <c r="S274" s="417"/>
      <c r="T274" s="417"/>
      <c r="U274" s="471"/>
      <c r="V274" s="471"/>
      <c r="W274" s="417"/>
      <c r="X274" s="471"/>
      <c r="Y274" s="471"/>
      <c r="Z274" s="471"/>
      <c r="AA274" s="471"/>
      <c r="AB274" s="471"/>
      <c r="AC274" s="471"/>
      <c r="AD274" s="474"/>
    </row>
    <row r="275" spans="2:30" x14ac:dyDescent="0.25">
      <c r="B275" s="417"/>
      <c r="C275" s="417"/>
      <c r="D275" s="417"/>
      <c r="E275" s="417"/>
      <c r="F275" s="417"/>
      <c r="G275" s="417"/>
      <c r="H275" s="417"/>
      <c r="I275" s="417"/>
      <c r="J275" s="417"/>
      <c r="K275" s="417"/>
      <c r="L275" s="417"/>
      <c r="M275" s="417"/>
      <c r="N275" s="417"/>
      <c r="O275" s="417"/>
      <c r="P275" s="417"/>
      <c r="Q275" s="417"/>
      <c r="R275" s="417"/>
      <c r="S275" s="417"/>
      <c r="T275" s="417"/>
      <c r="U275" s="471"/>
      <c r="V275" s="471"/>
      <c r="W275" s="417"/>
      <c r="X275" s="471"/>
      <c r="Y275" s="471"/>
      <c r="Z275" s="471"/>
      <c r="AA275" s="471"/>
      <c r="AB275" s="471"/>
      <c r="AC275" s="471"/>
      <c r="AD275" s="474"/>
    </row>
    <row r="276" spans="2:30" x14ac:dyDescent="0.25">
      <c r="B276" s="417"/>
      <c r="C276" s="417"/>
      <c r="D276" s="417"/>
      <c r="E276" s="417"/>
      <c r="F276" s="417"/>
      <c r="G276" s="417"/>
      <c r="H276" s="417"/>
      <c r="I276" s="417"/>
      <c r="J276" s="417"/>
      <c r="K276" s="417"/>
      <c r="L276" s="417"/>
      <c r="M276" s="417"/>
      <c r="N276" s="417"/>
      <c r="O276" s="417"/>
      <c r="P276" s="417"/>
      <c r="Q276" s="417"/>
      <c r="R276" s="417"/>
      <c r="S276" s="417"/>
      <c r="T276" s="417"/>
      <c r="U276" s="471"/>
      <c r="V276" s="471"/>
      <c r="W276" s="417"/>
      <c r="X276" s="471"/>
      <c r="Y276" s="471"/>
      <c r="Z276" s="471"/>
      <c r="AA276" s="471"/>
      <c r="AB276" s="471"/>
      <c r="AC276" s="471"/>
      <c r="AD276" s="474"/>
    </row>
    <row r="277" spans="2:30" x14ac:dyDescent="0.25">
      <c r="B277" s="417"/>
      <c r="C277" s="417"/>
      <c r="D277" s="417"/>
      <c r="E277" s="417"/>
      <c r="F277" s="417"/>
      <c r="G277" s="417"/>
      <c r="H277" s="417"/>
      <c r="I277" s="417"/>
      <c r="J277" s="417"/>
      <c r="K277" s="417"/>
      <c r="L277" s="417"/>
      <c r="M277" s="417"/>
      <c r="N277" s="417"/>
      <c r="O277" s="417"/>
      <c r="P277" s="417"/>
      <c r="Q277" s="417"/>
      <c r="R277" s="417"/>
      <c r="S277" s="417"/>
      <c r="T277" s="417"/>
      <c r="U277" s="471"/>
      <c r="V277" s="471"/>
      <c r="W277" s="417"/>
      <c r="X277" s="471"/>
      <c r="Y277" s="471"/>
      <c r="Z277" s="471"/>
      <c r="AA277" s="471"/>
      <c r="AB277" s="471"/>
      <c r="AC277" s="471"/>
      <c r="AD277" s="474"/>
    </row>
    <row r="278" spans="2:30" x14ac:dyDescent="0.25">
      <c r="B278" s="417"/>
      <c r="C278" s="417"/>
      <c r="D278" s="417"/>
      <c r="E278" s="417"/>
      <c r="F278" s="417"/>
      <c r="G278" s="417"/>
      <c r="H278" s="417"/>
      <c r="I278" s="417"/>
      <c r="J278" s="417"/>
      <c r="K278" s="417"/>
      <c r="L278" s="417"/>
      <c r="M278" s="417"/>
      <c r="N278" s="417"/>
      <c r="O278" s="417"/>
      <c r="P278" s="417"/>
      <c r="Q278" s="417"/>
      <c r="R278" s="417"/>
      <c r="S278" s="417"/>
      <c r="T278" s="417"/>
      <c r="U278" s="471"/>
      <c r="V278" s="471"/>
      <c r="W278" s="417"/>
      <c r="X278" s="471"/>
      <c r="Y278" s="471"/>
      <c r="Z278" s="471"/>
      <c r="AA278" s="471"/>
      <c r="AB278" s="471"/>
      <c r="AC278" s="471"/>
      <c r="AD278" s="474"/>
    </row>
    <row r="279" spans="2:30" x14ac:dyDescent="0.25">
      <c r="B279" s="417"/>
      <c r="C279" s="417"/>
      <c r="D279" s="417"/>
      <c r="E279" s="417"/>
      <c r="F279" s="417"/>
      <c r="G279" s="417"/>
      <c r="H279" s="417"/>
      <c r="I279" s="417"/>
      <c r="J279" s="417"/>
      <c r="K279" s="417"/>
      <c r="L279" s="417"/>
      <c r="M279" s="417"/>
      <c r="N279" s="417"/>
      <c r="O279" s="417"/>
      <c r="P279" s="417"/>
      <c r="Q279" s="417"/>
      <c r="R279" s="417"/>
      <c r="S279" s="417"/>
      <c r="T279" s="417"/>
      <c r="U279" s="471"/>
      <c r="V279" s="471"/>
      <c r="W279" s="417"/>
      <c r="X279" s="471"/>
      <c r="Y279" s="471"/>
      <c r="Z279" s="471"/>
      <c r="AA279" s="471"/>
      <c r="AB279" s="471"/>
      <c r="AC279" s="471"/>
      <c r="AD279" s="474"/>
    </row>
    <row r="280" spans="2:30" x14ac:dyDescent="0.25">
      <c r="B280" s="417"/>
      <c r="C280" s="417"/>
      <c r="D280" s="417"/>
      <c r="E280" s="417"/>
      <c r="F280" s="417"/>
      <c r="G280" s="417"/>
      <c r="H280" s="417"/>
      <c r="I280" s="417"/>
      <c r="J280" s="417"/>
      <c r="K280" s="417"/>
      <c r="L280" s="417"/>
      <c r="M280" s="417"/>
      <c r="N280" s="417"/>
      <c r="O280" s="417"/>
      <c r="P280" s="417"/>
      <c r="Q280" s="417"/>
      <c r="R280" s="417"/>
      <c r="S280" s="417"/>
      <c r="T280" s="417"/>
      <c r="U280" s="471"/>
      <c r="V280" s="471"/>
      <c r="W280" s="417"/>
      <c r="X280" s="471"/>
      <c r="Y280" s="471"/>
      <c r="Z280" s="471"/>
      <c r="AA280" s="471"/>
      <c r="AB280" s="471"/>
      <c r="AC280" s="471"/>
      <c r="AD280" s="474"/>
    </row>
    <row r="281" spans="2:30" x14ac:dyDescent="0.25">
      <c r="B281" s="417"/>
      <c r="C281" s="417"/>
      <c r="D281" s="417"/>
      <c r="E281" s="417"/>
      <c r="F281" s="417"/>
      <c r="G281" s="417"/>
      <c r="H281" s="417"/>
      <c r="I281" s="417"/>
      <c r="J281" s="417"/>
      <c r="K281" s="417"/>
      <c r="L281" s="417"/>
      <c r="M281" s="417"/>
      <c r="N281" s="417"/>
      <c r="O281" s="417"/>
      <c r="P281" s="417"/>
      <c r="Q281" s="417"/>
      <c r="R281" s="417"/>
      <c r="S281" s="417"/>
      <c r="T281" s="417"/>
      <c r="U281" s="471"/>
      <c r="V281" s="471"/>
      <c r="W281" s="417"/>
      <c r="X281" s="471"/>
      <c r="Y281" s="471"/>
      <c r="Z281" s="471"/>
      <c r="AA281" s="471"/>
      <c r="AB281" s="471"/>
      <c r="AC281" s="471"/>
      <c r="AD281" s="474"/>
    </row>
    <row r="282" spans="2:30" x14ac:dyDescent="0.25">
      <c r="B282" s="417"/>
      <c r="C282" s="417"/>
      <c r="D282" s="417"/>
      <c r="E282" s="417"/>
      <c r="F282" s="417"/>
      <c r="G282" s="417"/>
      <c r="H282" s="417"/>
      <c r="I282" s="417"/>
      <c r="J282" s="417"/>
      <c r="K282" s="417"/>
      <c r="L282" s="417"/>
      <c r="M282" s="417"/>
      <c r="N282" s="417"/>
      <c r="O282" s="417"/>
      <c r="P282" s="417"/>
      <c r="Q282" s="417"/>
      <c r="R282" s="417"/>
      <c r="S282" s="417"/>
      <c r="T282" s="417"/>
      <c r="U282" s="471"/>
      <c r="V282" s="471"/>
      <c r="W282" s="417"/>
      <c r="X282" s="471"/>
      <c r="Y282" s="471"/>
      <c r="Z282" s="471"/>
      <c r="AA282" s="471"/>
      <c r="AB282" s="471"/>
      <c r="AC282" s="471"/>
      <c r="AD282" s="474"/>
    </row>
    <row r="283" spans="2:30" x14ac:dyDescent="0.25">
      <c r="B283" s="417"/>
      <c r="C283" s="417"/>
      <c r="D283" s="417"/>
      <c r="E283" s="417"/>
      <c r="F283" s="417"/>
      <c r="G283" s="417"/>
      <c r="H283" s="417"/>
      <c r="I283" s="417"/>
      <c r="J283" s="417"/>
      <c r="K283" s="417"/>
      <c r="L283" s="417"/>
      <c r="M283" s="417"/>
      <c r="N283" s="417"/>
      <c r="O283" s="417"/>
      <c r="P283" s="417"/>
      <c r="Q283" s="417"/>
      <c r="R283" s="417"/>
      <c r="S283" s="417"/>
      <c r="T283" s="417"/>
      <c r="U283" s="471"/>
      <c r="V283" s="471"/>
      <c r="W283" s="417"/>
      <c r="X283" s="471"/>
      <c r="Y283" s="471"/>
      <c r="Z283" s="471"/>
      <c r="AA283" s="471"/>
      <c r="AB283" s="471"/>
      <c r="AC283" s="471"/>
      <c r="AD283" s="474"/>
    </row>
    <row r="284" spans="2:30" x14ac:dyDescent="0.25">
      <c r="B284" s="417"/>
      <c r="C284" s="417"/>
      <c r="D284" s="417"/>
      <c r="E284" s="417"/>
      <c r="F284" s="417"/>
      <c r="G284" s="417"/>
      <c r="H284" s="417"/>
      <c r="I284" s="417"/>
      <c r="J284" s="417"/>
      <c r="K284" s="417"/>
      <c r="L284" s="417"/>
      <c r="M284" s="417"/>
      <c r="N284" s="417"/>
      <c r="O284" s="417"/>
      <c r="P284" s="417"/>
      <c r="Q284" s="417"/>
      <c r="R284" s="417"/>
      <c r="S284" s="417"/>
      <c r="T284" s="417"/>
      <c r="U284" s="471"/>
      <c r="V284" s="471"/>
      <c r="W284" s="417"/>
      <c r="X284" s="471"/>
      <c r="Y284" s="471"/>
      <c r="Z284" s="471"/>
      <c r="AA284" s="471"/>
      <c r="AB284" s="471"/>
      <c r="AC284" s="471"/>
      <c r="AD284" s="474"/>
    </row>
    <row r="285" spans="2:30" x14ac:dyDescent="0.25">
      <c r="B285" s="417"/>
      <c r="C285" s="417"/>
      <c r="D285" s="417"/>
      <c r="E285" s="417"/>
      <c r="F285" s="417"/>
      <c r="G285" s="417"/>
      <c r="H285" s="417"/>
      <c r="I285" s="417"/>
      <c r="J285" s="417"/>
      <c r="K285" s="417"/>
      <c r="L285" s="417"/>
      <c r="M285" s="417"/>
      <c r="N285" s="417"/>
      <c r="O285" s="417"/>
      <c r="P285" s="417"/>
      <c r="Q285" s="417"/>
      <c r="R285" s="417"/>
      <c r="S285" s="417"/>
      <c r="T285" s="417"/>
      <c r="U285" s="471"/>
      <c r="V285" s="471"/>
      <c r="W285" s="417"/>
      <c r="X285" s="471"/>
      <c r="Y285" s="471"/>
      <c r="Z285" s="471"/>
      <c r="AA285" s="471"/>
      <c r="AB285" s="471"/>
      <c r="AC285" s="471"/>
      <c r="AD285" s="474"/>
    </row>
    <row r="286" spans="2:30" x14ac:dyDescent="0.25">
      <c r="B286" s="417"/>
      <c r="C286" s="417"/>
      <c r="D286" s="417"/>
      <c r="E286" s="417"/>
      <c r="F286" s="417"/>
      <c r="G286" s="417"/>
      <c r="H286" s="417"/>
      <c r="I286" s="417"/>
      <c r="J286" s="417"/>
      <c r="K286" s="417"/>
      <c r="L286" s="417"/>
      <c r="M286" s="417"/>
      <c r="N286" s="417"/>
      <c r="O286" s="417"/>
      <c r="P286" s="417"/>
      <c r="Q286" s="417"/>
      <c r="R286" s="417"/>
      <c r="S286" s="417"/>
      <c r="T286" s="417"/>
      <c r="U286" s="471"/>
      <c r="V286" s="471"/>
      <c r="W286" s="417"/>
      <c r="X286" s="471"/>
      <c r="Y286" s="471"/>
      <c r="Z286" s="471"/>
      <c r="AA286" s="471"/>
      <c r="AB286" s="471"/>
      <c r="AC286" s="471"/>
      <c r="AD286" s="474"/>
    </row>
    <row r="287" spans="2:30" x14ac:dyDescent="0.25">
      <c r="B287" s="417"/>
      <c r="C287" s="417"/>
      <c r="D287" s="417"/>
      <c r="E287" s="417"/>
      <c r="F287" s="417"/>
      <c r="G287" s="417"/>
      <c r="H287" s="417"/>
      <c r="I287" s="417"/>
      <c r="J287" s="417"/>
      <c r="K287" s="417"/>
      <c r="L287" s="417"/>
      <c r="M287" s="417"/>
      <c r="N287" s="417"/>
      <c r="O287" s="417"/>
      <c r="P287" s="417"/>
      <c r="Q287" s="417"/>
      <c r="R287" s="417"/>
      <c r="S287" s="417"/>
      <c r="T287" s="417"/>
      <c r="U287" s="471"/>
      <c r="V287" s="471"/>
      <c r="W287" s="417"/>
      <c r="X287" s="471"/>
      <c r="Y287" s="471"/>
      <c r="Z287" s="471"/>
      <c r="AA287" s="471"/>
      <c r="AB287" s="471"/>
      <c r="AC287" s="471"/>
      <c r="AD287" s="474"/>
    </row>
    <row r="288" spans="2:30" x14ac:dyDescent="0.25">
      <c r="B288" s="417"/>
      <c r="C288" s="417"/>
      <c r="D288" s="417"/>
      <c r="E288" s="417"/>
      <c r="F288" s="417"/>
      <c r="G288" s="417"/>
      <c r="H288" s="417"/>
      <c r="I288" s="417"/>
      <c r="J288" s="417"/>
      <c r="K288" s="417"/>
      <c r="L288" s="417"/>
      <c r="M288" s="417"/>
      <c r="N288" s="417"/>
      <c r="O288" s="417"/>
      <c r="P288" s="417"/>
      <c r="Q288" s="417"/>
      <c r="R288" s="417"/>
      <c r="S288" s="417"/>
      <c r="T288" s="417"/>
      <c r="U288" s="471"/>
      <c r="V288" s="471"/>
      <c r="W288" s="417"/>
      <c r="X288" s="471"/>
      <c r="Y288" s="471"/>
      <c r="Z288" s="471"/>
      <c r="AA288" s="471"/>
      <c r="AB288" s="471"/>
      <c r="AC288" s="471"/>
      <c r="AD288" s="474"/>
    </row>
    <row r="289" spans="2:30" x14ac:dyDescent="0.25">
      <c r="B289" s="417"/>
      <c r="C289" s="417"/>
      <c r="D289" s="417"/>
      <c r="E289" s="417"/>
      <c r="F289" s="417"/>
      <c r="G289" s="417"/>
      <c r="H289" s="417"/>
      <c r="I289" s="417"/>
      <c r="J289" s="417"/>
      <c r="K289" s="417"/>
      <c r="L289" s="417"/>
      <c r="M289" s="417"/>
      <c r="N289" s="417"/>
      <c r="O289" s="417"/>
      <c r="P289" s="417"/>
      <c r="Q289" s="417"/>
      <c r="R289" s="417"/>
      <c r="S289" s="417"/>
      <c r="T289" s="417"/>
      <c r="U289" s="471"/>
      <c r="V289" s="471"/>
      <c r="W289" s="417"/>
      <c r="X289" s="471"/>
      <c r="Y289" s="471"/>
      <c r="Z289" s="471"/>
      <c r="AA289" s="471"/>
      <c r="AB289" s="471"/>
      <c r="AC289" s="471"/>
      <c r="AD289" s="474"/>
    </row>
    <row r="290" spans="2:30" x14ac:dyDescent="0.25">
      <c r="B290" s="417"/>
      <c r="C290" s="417"/>
      <c r="D290" s="417"/>
      <c r="E290" s="417"/>
      <c r="F290" s="417"/>
      <c r="G290" s="417"/>
      <c r="H290" s="417"/>
      <c r="I290" s="417"/>
      <c r="J290" s="417"/>
      <c r="K290" s="417"/>
      <c r="L290" s="417"/>
      <c r="M290" s="417"/>
      <c r="N290" s="417"/>
      <c r="O290" s="417"/>
      <c r="P290" s="417"/>
      <c r="Q290" s="417"/>
      <c r="R290" s="417"/>
      <c r="S290" s="417"/>
      <c r="T290" s="417"/>
      <c r="U290" s="471"/>
      <c r="V290" s="471"/>
      <c r="W290" s="417"/>
      <c r="X290" s="471"/>
      <c r="Y290" s="471"/>
      <c r="Z290" s="471"/>
      <c r="AA290" s="471"/>
      <c r="AB290" s="471"/>
      <c r="AC290" s="471"/>
      <c r="AD290" s="474"/>
    </row>
    <row r="291" spans="2:30" x14ac:dyDescent="0.25">
      <c r="B291" s="417"/>
      <c r="C291" s="417"/>
      <c r="D291" s="417"/>
      <c r="E291" s="417"/>
      <c r="F291" s="417"/>
      <c r="G291" s="417"/>
      <c r="H291" s="417"/>
      <c r="I291" s="417"/>
      <c r="J291" s="417"/>
      <c r="K291" s="417"/>
      <c r="L291" s="417"/>
      <c r="M291" s="417"/>
      <c r="N291" s="417"/>
      <c r="O291" s="417"/>
      <c r="P291" s="417"/>
      <c r="Q291" s="417"/>
      <c r="R291" s="417"/>
      <c r="S291" s="417"/>
      <c r="T291" s="417"/>
      <c r="U291" s="471"/>
      <c r="V291" s="471"/>
      <c r="W291" s="417"/>
      <c r="X291" s="471"/>
      <c r="Y291" s="471"/>
      <c r="Z291" s="471"/>
      <c r="AA291" s="471"/>
      <c r="AB291" s="471"/>
      <c r="AC291" s="471"/>
      <c r="AD291" s="474"/>
    </row>
    <row r="292" spans="2:30" x14ac:dyDescent="0.25">
      <c r="B292" s="417"/>
      <c r="C292" s="417"/>
      <c r="D292" s="417"/>
      <c r="E292" s="417"/>
      <c r="F292" s="417"/>
      <c r="G292" s="417"/>
      <c r="H292" s="417"/>
      <c r="I292" s="417"/>
      <c r="J292" s="417"/>
      <c r="K292" s="417"/>
      <c r="L292" s="417"/>
      <c r="M292" s="417"/>
      <c r="N292" s="417"/>
      <c r="O292" s="417"/>
      <c r="P292" s="417"/>
      <c r="Q292" s="417"/>
      <c r="R292" s="417"/>
      <c r="S292" s="417"/>
      <c r="T292" s="417"/>
      <c r="U292" s="471"/>
      <c r="V292" s="471"/>
      <c r="W292" s="417"/>
      <c r="X292" s="471"/>
      <c r="Y292" s="471"/>
      <c r="Z292" s="471"/>
      <c r="AA292" s="471"/>
      <c r="AB292" s="471"/>
      <c r="AC292" s="471"/>
      <c r="AD292" s="474"/>
    </row>
    <row r="293" spans="2:30" x14ac:dyDescent="0.25">
      <c r="B293" s="417"/>
      <c r="C293" s="417"/>
      <c r="D293" s="417"/>
      <c r="E293" s="417"/>
      <c r="F293" s="417"/>
      <c r="G293" s="417"/>
      <c r="H293" s="417"/>
      <c r="I293" s="417"/>
      <c r="J293" s="417"/>
      <c r="K293" s="417"/>
      <c r="L293" s="417"/>
      <c r="M293" s="417"/>
      <c r="N293" s="417"/>
      <c r="O293" s="417"/>
      <c r="P293" s="417"/>
      <c r="Q293" s="417"/>
      <c r="R293" s="417"/>
      <c r="S293" s="417"/>
      <c r="T293" s="417"/>
      <c r="U293" s="471"/>
      <c r="V293" s="471"/>
      <c r="W293" s="417"/>
      <c r="X293" s="471"/>
      <c r="Y293" s="471"/>
      <c r="Z293" s="471"/>
      <c r="AA293" s="471"/>
      <c r="AB293" s="471"/>
      <c r="AC293" s="471"/>
      <c r="AD293" s="474"/>
    </row>
    <row r="294" spans="2:30" x14ac:dyDescent="0.25">
      <c r="B294" s="417"/>
      <c r="C294" s="417"/>
      <c r="D294" s="417"/>
      <c r="E294" s="417"/>
      <c r="F294" s="417"/>
      <c r="G294" s="417"/>
      <c r="H294" s="417"/>
      <c r="I294" s="417"/>
      <c r="J294" s="417"/>
      <c r="K294" s="417"/>
      <c r="L294" s="417"/>
      <c r="M294" s="417"/>
      <c r="N294" s="417"/>
      <c r="O294" s="417"/>
      <c r="P294" s="417"/>
      <c r="Q294" s="417"/>
      <c r="R294" s="417"/>
      <c r="S294" s="417"/>
      <c r="T294" s="417"/>
      <c r="U294" s="471"/>
      <c r="V294" s="471"/>
      <c r="W294" s="417"/>
      <c r="X294" s="471"/>
      <c r="Y294" s="471"/>
      <c r="Z294" s="471"/>
      <c r="AA294" s="471"/>
      <c r="AB294" s="471"/>
      <c r="AC294" s="471"/>
      <c r="AD294" s="474"/>
    </row>
    <row r="295" spans="2:30" x14ac:dyDescent="0.25">
      <c r="B295" s="417"/>
      <c r="C295" s="417"/>
      <c r="D295" s="417"/>
      <c r="E295" s="417"/>
      <c r="F295" s="417"/>
      <c r="G295" s="417"/>
      <c r="H295" s="417"/>
      <c r="I295" s="417"/>
      <c r="J295" s="417"/>
      <c r="K295" s="417"/>
      <c r="L295" s="417"/>
      <c r="M295" s="417"/>
      <c r="N295" s="417"/>
      <c r="O295" s="417"/>
      <c r="P295" s="417"/>
      <c r="Q295" s="417"/>
      <c r="R295" s="417"/>
      <c r="S295" s="417"/>
      <c r="T295" s="417"/>
      <c r="U295" s="471"/>
      <c r="V295" s="471"/>
      <c r="W295" s="417"/>
      <c r="X295" s="471"/>
      <c r="Y295" s="471"/>
      <c r="Z295" s="471"/>
      <c r="AA295" s="471"/>
      <c r="AB295" s="471"/>
      <c r="AC295" s="471"/>
      <c r="AD295" s="474"/>
    </row>
    <row r="296" spans="2:30" x14ac:dyDescent="0.25">
      <c r="B296" s="417"/>
      <c r="C296" s="417"/>
      <c r="D296" s="417"/>
      <c r="E296" s="417"/>
      <c r="F296" s="417"/>
      <c r="G296" s="417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71"/>
      <c r="V296" s="471"/>
      <c r="W296" s="417"/>
      <c r="X296" s="471"/>
      <c r="Y296" s="471"/>
      <c r="Z296" s="471"/>
      <c r="AA296" s="471"/>
      <c r="AB296" s="471"/>
      <c r="AC296" s="471"/>
      <c r="AD296" s="474"/>
    </row>
    <row r="297" spans="2:30" x14ac:dyDescent="0.25">
      <c r="B297" s="417"/>
      <c r="C297" s="417"/>
      <c r="D297" s="417"/>
      <c r="E297" s="417"/>
      <c r="F297" s="417"/>
      <c r="G297" s="417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71"/>
      <c r="V297" s="471"/>
      <c r="W297" s="417"/>
      <c r="X297" s="471"/>
      <c r="Y297" s="471"/>
      <c r="Z297" s="471"/>
      <c r="AA297" s="471"/>
      <c r="AB297" s="471"/>
      <c r="AC297" s="471"/>
      <c r="AD297" s="474"/>
    </row>
    <row r="298" spans="2:30" x14ac:dyDescent="0.25">
      <c r="B298" s="417"/>
      <c r="C298" s="417"/>
      <c r="D298" s="417"/>
      <c r="E298" s="417"/>
      <c r="F298" s="417"/>
      <c r="G298" s="417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71"/>
      <c r="V298" s="471"/>
      <c r="W298" s="417"/>
      <c r="X298" s="471"/>
      <c r="Y298" s="471"/>
      <c r="Z298" s="471"/>
      <c r="AA298" s="471"/>
      <c r="AB298" s="471"/>
      <c r="AC298" s="471"/>
      <c r="AD298" s="474"/>
    </row>
    <row r="299" spans="2:30" x14ac:dyDescent="0.25">
      <c r="B299" s="417"/>
      <c r="C299" s="417"/>
      <c r="D299" s="417"/>
      <c r="E299" s="417"/>
      <c r="F299" s="417"/>
      <c r="G299" s="417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71"/>
      <c r="V299" s="471"/>
      <c r="W299" s="417"/>
      <c r="X299" s="471"/>
      <c r="Y299" s="471"/>
      <c r="Z299" s="471"/>
      <c r="AA299" s="471"/>
      <c r="AB299" s="471"/>
      <c r="AC299" s="471"/>
      <c r="AD299" s="474"/>
    </row>
    <row r="300" spans="2:30" x14ac:dyDescent="0.25">
      <c r="B300" s="417"/>
      <c r="C300" s="417"/>
      <c r="D300" s="417"/>
      <c r="E300" s="417"/>
      <c r="F300" s="417"/>
      <c r="G300" s="417"/>
      <c r="H300" s="417"/>
      <c r="I300" s="417"/>
      <c r="J300" s="417"/>
      <c r="K300" s="417"/>
      <c r="L300" s="417"/>
      <c r="M300" s="417"/>
      <c r="N300" s="417"/>
      <c r="O300" s="417"/>
      <c r="P300" s="417"/>
      <c r="Q300" s="417"/>
      <c r="R300" s="417"/>
      <c r="S300" s="417"/>
      <c r="T300" s="417"/>
      <c r="U300" s="471"/>
      <c r="V300" s="471"/>
      <c r="W300" s="417"/>
      <c r="X300" s="471"/>
      <c r="Y300" s="471"/>
      <c r="Z300" s="471"/>
      <c r="AA300" s="471"/>
      <c r="AB300" s="471"/>
      <c r="AC300" s="471"/>
      <c r="AD300" s="474"/>
    </row>
    <row r="301" spans="2:30" x14ac:dyDescent="0.25">
      <c r="B301" s="417"/>
      <c r="C301" s="417"/>
      <c r="D301" s="417"/>
      <c r="E301" s="417"/>
      <c r="F301" s="417"/>
      <c r="G301" s="417"/>
      <c r="H301" s="417"/>
      <c r="I301" s="417"/>
      <c r="J301" s="417"/>
      <c r="K301" s="417"/>
      <c r="L301" s="417"/>
      <c r="M301" s="417"/>
      <c r="N301" s="417"/>
      <c r="O301" s="417"/>
      <c r="P301" s="417"/>
      <c r="Q301" s="417"/>
      <c r="R301" s="417"/>
      <c r="S301" s="417"/>
      <c r="T301" s="417"/>
      <c r="U301" s="471"/>
      <c r="V301" s="471"/>
      <c r="W301" s="417"/>
      <c r="X301" s="471"/>
      <c r="Y301" s="471"/>
      <c r="Z301" s="471"/>
      <c r="AA301" s="471"/>
      <c r="AB301" s="471"/>
      <c r="AC301" s="471"/>
      <c r="AD301" s="474"/>
    </row>
    <row r="302" spans="2:30" x14ac:dyDescent="0.25">
      <c r="B302" s="417"/>
      <c r="C302" s="417"/>
      <c r="D302" s="417"/>
      <c r="E302" s="417"/>
      <c r="F302" s="417"/>
      <c r="G302" s="417"/>
      <c r="H302" s="417"/>
      <c r="I302" s="417"/>
      <c r="J302" s="417"/>
      <c r="K302" s="417"/>
      <c r="L302" s="417"/>
      <c r="M302" s="417"/>
      <c r="N302" s="417"/>
      <c r="O302" s="417"/>
      <c r="P302" s="417"/>
      <c r="Q302" s="417"/>
      <c r="R302" s="417"/>
      <c r="S302" s="417"/>
      <c r="T302" s="417"/>
      <c r="U302" s="471"/>
      <c r="V302" s="471"/>
      <c r="W302" s="417"/>
      <c r="X302" s="471"/>
      <c r="Y302" s="471"/>
      <c r="Z302" s="471"/>
      <c r="AA302" s="471"/>
      <c r="AB302" s="471"/>
      <c r="AC302" s="471"/>
      <c r="AD302" s="474"/>
    </row>
    <row r="303" spans="2:30" x14ac:dyDescent="0.25">
      <c r="B303" s="417"/>
      <c r="C303" s="417"/>
      <c r="D303" s="417"/>
      <c r="E303" s="417"/>
      <c r="F303" s="417"/>
      <c r="G303" s="417"/>
      <c r="H303" s="417"/>
      <c r="I303" s="417"/>
      <c r="J303" s="417"/>
      <c r="K303" s="417"/>
      <c r="L303" s="417"/>
      <c r="M303" s="417"/>
      <c r="N303" s="417"/>
      <c r="O303" s="417"/>
      <c r="P303" s="417"/>
      <c r="Q303" s="417"/>
      <c r="R303" s="417"/>
      <c r="S303" s="417"/>
      <c r="T303" s="417"/>
      <c r="U303" s="471"/>
      <c r="V303" s="471"/>
      <c r="W303" s="417"/>
      <c r="X303" s="471"/>
      <c r="Y303" s="471"/>
      <c r="Z303" s="471"/>
      <c r="AA303" s="471"/>
      <c r="AB303" s="471"/>
      <c r="AC303" s="471"/>
      <c r="AD303" s="474"/>
    </row>
    <row r="304" spans="2:30" x14ac:dyDescent="0.25">
      <c r="B304" s="417"/>
      <c r="C304" s="417"/>
      <c r="D304" s="417"/>
      <c r="E304" s="417"/>
      <c r="F304" s="417"/>
      <c r="G304" s="417"/>
      <c r="H304" s="417"/>
      <c r="I304" s="417"/>
      <c r="J304" s="417"/>
      <c r="K304" s="417"/>
      <c r="L304" s="417"/>
      <c r="M304" s="417"/>
      <c r="N304" s="417"/>
      <c r="O304" s="417"/>
      <c r="P304" s="417"/>
      <c r="Q304" s="417"/>
      <c r="R304" s="417"/>
      <c r="S304" s="417"/>
      <c r="T304" s="417"/>
      <c r="U304" s="471"/>
      <c r="V304" s="471"/>
      <c r="W304" s="417"/>
      <c r="X304" s="471"/>
      <c r="Y304" s="471"/>
      <c r="Z304" s="471"/>
      <c r="AA304" s="471"/>
      <c r="AB304" s="471"/>
      <c r="AC304" s="471"/>
      <c r="AD304" s="474"/>
    </row>
    <row r="305" spans="2:30" x14ac:dyDescent="0.25">
      <c r="B305" s="417"/>
      <c r="C305" s="417"/>
      <c r="D305" s="417"/>
      <c r="E305" s="417"/>
      <c r="F305" s="417"/>
      <c r="G305" s="417"/>
      <c r="H305" s="417"/>
      <c r="I305" s="417"/>
      <c r="J305" s="417"/>
      <c r="K305" s="417"/>
      <c r="L305" s="417"/>
      <c r="M305" s="417"/>
      <c r="N305" s="417"/>
      <c r="O305" s="417"/>
      <c r="P305" s="417"/>
      <c r="Q305" s="417"/>
      <c r="R305" s="417"/>
      <c r="S305" s="417"/>
      <c r="T305" s="417"/>
      <c r="U305" s="471"/>
      <c r="V305" s="471"/>
      <c r="W305" s="417"/>
      <c r="X305" s="471"/>
      <c r="Y305" s="471"/>
      <c r="Z305" s="471"/>
      <c r="AA305" s="471"/>
      <c r="AB305" s="471"/>
      <c r="AC305" s="471"/>
      <c r="AD305" s="474"/>
    </row>
    <row r="306" spans="2:30" x14ac:dyDescent="0.25">
      <c r="B306" s="417"/>
      <c r="C306" s="417"/>
      <c r="D306" s="417"/>
      <c r="E306" s="417"/>
      <c r="F306" s="417"/>
      <c r="G306" s="417"/>
      <c r="H306" s="417"/>
      <c r="I306" s="417"/>
      <c r="J306" s="417"/>
      <c r="K306" s="417"/>
      <c r="L306" s="417"/>
      <c r="M306" s="417"/>
      <c r="N306" s="417"/>
      <c r="O306" s="417"/>
      <c r="P306" s="417"/>
      <c r="Q306" s="417"/>
      <c r="R306" s="417"/>
      <c r="S306" s="417"/>
      <c r="T306" s="417"/>
      <c r="U306" s="471"/>
      <c r="V306" s="471"/>
      <c r="W306" s="417"/>
      <c r="X306" s="471"/>
      <c r="Y306" s="471"/>
      <c r="Z306" s="471"/>
      <c r="AA306" s="471"/>
      <c r="AB306" s="471"/>
      <c r="AC306" s="471"/>
      <c r="AD306" s="474"/>
    </row>
    <row r="307" spans="2:30" x14ac:dyDescent="0.25">
      <c r="B307" s="417"/>
      <c r="C307" s="417"/>
      <c r="D307" s="417"/>
      <c r="E307" s="417"/>
      <c r="F307" s="417"/>
      <c r="G307" s="417"/>
      <c r="H307" s="417"/>
      <c r="I307" s="417"/>
      <c r="J307" s="417"/>
      <c r="K307" s="417"/>
      <c r="L307" s="417"/>
      <c r="M307" s="417"/>
      <c r="N307" s="417"/>
      <c r="O307" s="417"/>
      <c r="P307" s="417"/>
      <c r="Q307" s="417"/>
      <c r="R307" s="417"/>
      <c r="S307" s="417"/>
      <c r="T307" s="417"/>
      <c r="U307" s="471"/>
      <c r="V307" s="471"/>
      <c r="W307" s="417"/>
      <c r="X307" s="471"/>
      <c r="Y307" s="471"/>
      <c r="Z307" s="471"/>
      <c r="AA307" s="471"/>
      <c r="AB307" s="471"/>
      <c r="AC307" s="471"/>
      <c r="AD307" s="474"/>
    </row>
    <row r="308" spans="2:30" x14ac:dyDescent="0.25">
      <c r="B308" s="417"/>
      <c r="C308" s="417"/>
      <c r="D308" s="417"/>
      <c r="E308" s="417"/>
      <c r="F308" s="417"/>
      <c r="G308" s="417"/>
      <c r="H308" s="417"/>
      <c r="I308" s="417"/>
      <c r="J308" s="417"/>
      <c r="K308" s="417"/>
      <c r="L308" s="417"/>
      <c r="M308" s="417"/>
      <c r="N308" s="417"/>
      <c r="O308" s="417"/>
      <c r="P308" s="417"/>
      <c r="Q308" s="417"/>
      <c r="R308" s="417"/>
      <c r="S308" s="417"/>
      <c r="T308" s="417"/>
      <c r="U308" s="471"/>
      <c r="V308" s="471"/>
      <c r="W308" s="417"/>
      <c r="X308" s="471"/>
      <c r="Y308" s="471"/>
      <c r="Z308" s="471"/>
      <c r="AA308" s="471"/>
      <c r="AB308" s="471"/>
      <c r="AC308" s="471"/>
      <c r="AD308" s="474"/>
    </row>
    <row r="309" spans="2:30" x14ac:dyDescent="0.25">
      <c r="B309" s="417"/>
      <c r="C309" s="417"/>
      <c r="D309" s="417"/>
      <c r="E309" s="417"/>
      <c r="F309" s="417"/>
      <c r="G309" s="417"/>
      <c r="H309" s="417"/>
      <c r="I309" s="417"/>
      <c r="J309" s="417"/>
      <c r="K309" s="417"/>
      <c r="L309" s="417"/>
      <c r="M309" s="417"/>
      <c r="N309" s="417"/>
      <c r="O309" s="417"/>
      <c r="P309" s="417"/>
      <c r="Q309" s="417"/>
      <c r="R309" s="417"/>
      <c r="S309" s="417"/>
      <c r="T309" s="417"/>
      <c r="U309" s="471"/>
      <c r="V309" s="471"/>
      <c r="W309" s="417"/>
      <c r="X309" s="471"/>
      <c r="Y309" s="471"/>
      <c r="Z309" s="471"/>
      <c r="AA309" s="471"/>
      <c r="AB309" s="471"/>
      <c r="AC309" s="471"/>
      <c r="AD309" s="474"/>
    </row>
    <row r="310" spans="2:30" x14ac:dyDescent="0.25">
      <c r="B310" s="417"/>
      <c r="C310" s="417"/>
      <c r="D310" s="417"/>
      <c r="E310" s="417"/>
      <c r="F310" s="417"/>
      <c r="G310" s="417"/>
      <c r="H310" s="417"/>
      <c r="I310" s="417"/>
      <c r="J310" s="417"/>
      <c r="K310" s="417"/>
      <c r="L310" s="417"/>
      <c r="M310" s="417"/>
      <c r="N310" s="417"/>
      <c r="O310" s="417"/>
      <c r="P310" s="417"/>
      <c r="Q310" s="417"/>
      <c r="R310" s="417"/>
      <c r="S310" s="417"/>
      <c r="T310" s="417"/>
      <c r="U310" s="471"/>
      <c r="V310" s="471"/>
      <c r="W310" s="417"/>
      <c r="X310" s="471"/>
      <c r="Y310" s="471"/>
      <c r="Z310" s="471"/>
      <c r="AA310" s="471"/>
      <c r="AB310" s="471"/>
      <c r="AC310" s="471"/>
      <c r="AD310" s="474"/>
    </row>
    <row r="311" spans="2:30" x14ac:dyDescent="0.25">
      <c r="B311" s="417"/>
      <c r="C311" s="417"/>
      <c r="D311" s="417"/>
      <c r="E311" s="417"/>
      <c r="F311" s="417"/>
      <c r="G311" s="417"/>
      <c r="H311" s="417"/>
      <c r="I311" s="417"/>
      <c r="J311" s="417"/>
      <c r="K311" s="417"/>
      <c r="L311" s="417"/>
      <c r="M311" s="417"/>
      <c r="N311" s="417"/>
      <c r="O311" s="417"/>
      <c r="P311" s="417"/>
      <c r="Q311" s="417"/>
      <c r="R311" s="417"/>
      <c r="S311" s="417"/>
      <c r="T311" s="417"/>
      <c r="U311" s="471"/>
      <c r="V311" s="471"/>
      <c r="W311" s="417"/>
      <c r="X311" s="471"/>
      <c r="Y311" s="471"/>
      <c r="Z311" s="471"/>
      <c r="AA311" s="471"/>
      <c r="AB311" s="471"/>
      <c r="AC311" s="471"/>
      <c r="AD311" s="474"/>
    </row>
    <row r="312" spans="2:30" x14ac:dyDescent="0.25">
      <c r="B312" s="417"/>
      <c r="C312" s="417"/>
      <c r="D312" s="417"/>
      <c r="E312" s="417"/>
      <c r="F312" s="417"/>
      <c r="G312" s="417"/>
      <c r="H312" s="417"/>
      <c r="I312" s="417"/>
      <c r="J312" s="417"/>
      <c r="K312" s="417"/>
      <c r="L312" s="417"/>
      <c r="M312" s="417"/>
      <c r="N312" s="417"/>
      <c r="O312" s="417"/>
      <c r="P312" s="417"/>
      <c r="Q312" s="417"/>
      <c r="R312" s="417"/>
      <c r="S312" s="417"/>
      <c r="T312" s="417"/>
      <c r="U312" s="471"/>
      <c r="V312" s="471"/>
      <c r="W312" s="417"/>
      <c r="X312" s="471"/>
      <c r="Y312" s="471"/>
      <c r="Z312" s="471"/>
      <c r="AA312" s="471"/>
      <c r="AB312" s="471"/>
      <c r="AC312" s="471"/>
      <c r="AD312" s="474"/>
    </row>
    <row r="313" spans="2:30" x14ac:dyDescent="0.25">
      <c r="B313" s="417"/>
      <c r="C313" s="417"/>
      <c r="D313" s="417"/>
      <c r="E313" s="417"/>
      <c r="F313" s="417"/>
      <c r="G313" s="417"/>
      <c r="H313" s="417"/>
      <c r="I313" s="417"/>
      <c r="J313" s="417"/>
      <c r="K313" s="417"/>
      <c r="L313" s="417"/>
      <c r="M313" s="417"/>
      <c r="N313" s="417"/>
      <c r="O313" s="417"/>
      <c r="P313" s="417"/>
      <c r="Q313" s="417"/>
      <c r="R313" s="417"/>
      <c r="S313" s="417"/>
      <c r="T313" s="417"/>
      <c r="U313" s="471"/>
      <c r="V313" s="471"/>
      <c r="W313" s="417"/>
      <c r="X313" s="471"/>
      <c r="Y313" s="471"/>
      <c r="Z313" s="471"/>
      <c r="AA313" s="471"/>
      <c r="AB313" s="471"/>
      <c r="AC313" s="471"/>
      <c r="AD313" s="474"/>
    </row>
    <row r="314" spans="2:30" x14ac:dyDescent="0.25">
      <c r="B314" s="417"/>
      <c r="C314" s="417"/>
      <c r="D314" s="417"/>
      <c r="E314" s="417"/>
      <c r="F314" s="417"/>
      <c r="G314" s="417"/>
      <c r="H314" s="417"/>
      <c r="I314" s="417"/>
      <c r="J314" s="417"/>
      <c r="K314" s="417"/>
      <c r="L314" s="417"/>
      <c r="M314" s="417"/>
      <c r="N314" s="417"/>
      <c r="O314" s="417"/>
      <c r="P314" s="417"/>
      <c r="Q314" s="417"/>
      <c r="R314" s="417"/>
      <c r="S314" s="417"/>
      <c r="T314" s="417"/>
      <c r="U314" s="471"/>
      <c r="V314" s="471"/>
      <c r="W314" s="417"/>
      <c r="X314" s="471"/>
      <c r="Y314" s="471"/>
      <c r="Z314" s="471"/>
      <c r="AA314" s="471"/>
      <c r="AB314" s="471"/>
      <c r="AC314" s="471"/>
      <c r="AD314" s="474"/>
    </row>
    <row r="315" spans="2:30" x14ac:dyDescent="0.25">
      <c r="B315" s="417"/>
      <c r="C315" s="417"/>
      <c r="D315" s="417"/>
      <c r="E315" s="417"/>
      <c r="F315" s="417"/>
      <c r="G315" s="417"/>
      <c r="H315" s="417"/>
      <c r="I315" s="417"/>
      <c r="J315" s="417"/>
      <c r="K315" s="417"/>
      <c r="L315" s="417"/>
      <c r="M315" s="417"/>
      <c r="N315" s="417"/>
      <c r="O315" s="417"/>
      <c r="P315" s="417"/>
      <c r="Q315" s="417"/>
      <c r="R315" s="417"/>
      <c r="S315" s="417"/>
      <c r="T315" s="417"/>
      <c r="U315" s="471"/>
      <c r="V315" s="471"/>
      <c r="W315" s="417"/>
      <c r="X315" s="471"/>
      <c r="Y315" s="471"/>
      <c r="Z315" s="471"/>
      <c r="AA315" s="471"/>
      <c r="AB315" s="471"/>
      <c r="AC315" s="471"/>
      <c r="AD315" s="474"/>
    </row>
    <row r="316" spans="2:30" x14ac:dyDescent="0.25">
      <c r="B316" s="417"/>
      <c r="C316" s="417"/>
      <c r="D316" s="417"/>
      <c r="E316" s="417"/>
      <c r="F316" s="417"/>
      <c r="G316" s="417"/>
      <c r="H316" s="417"/>
      <c r="I316" s="417"/>
      <c r="J316" s="417"/>
      <c r="K316" s="417"/>
      <c r="L316" s="417"/>
      <c r="M316" s="417"/>
      <c r="N316" s="417"/>
      <c r="O316" s="417"/>
      <c r="P316" s="417"/>
      <c r="Q316" s="417"/>
      <c r="R316" s="417"/>
      <c r="S316" s="417"/>
      <c r="T316" s="417"/>
      <c r="U316" s="471"/>
      <c r="V316" s="471"/>
      <c r="W316" s="417"/>
      <c r="X316" s="471"/>
      <c r="Y316" s="471"/>
      <c r="Z316" s="471"/>
      <c r="AA316" s="471"/>
      <c r="AB316" s="471"/>
      <c r="AC316" s="471"/>
      <c r="AD316" s="474"/>
    </row>
    <row r="317" spans="2:30" x14ac:dyDescent="0.25">
      <c r="B317" s="417"/>
      <c r="C317" s="417"/>
      <c r="D317" s="417"/>
      <c r="E317" s="417"/>
      <c r="F317" s="417"/>
      <c r="G317" s="417"/>
      <c r="H317" s="417"/>
      <c r="I317" s="417"/>
      <c r="J317" s="417"/>
      <c r="K317" s="417"/>
      <c r="L317" s="417"/>
      <c r="M317" s="417"/>
      <c r="N317" s="417"/>
      <c r="O317" s="417"/>
      <c r="P317" s="417"/>
      <c r="Q317" s="417"/>
      <c r="R317" s="417"/>
      <c r="S317" s="417"/>
      <c r="T317" s="417"/>
      <c r="U317" s="471"/>
      <c r="V317" s="471"/>
      <c r="W317" s="417"/>
      <c r="X317" s="471"/>
      <c r="Y317" s="471"/>
      <c r="Z317" s="471"/>
      <c r="AA317" s="471"/>
      <c r="AB317" s="471"/>
      <c r="AC317" s="471"/>
      <c r="AD317" s="474"/>
    </row>
    <row r="318" spans="2:30" x14ac:dyDescent="0.25">
      <c r="B318" s="417"/>
      <c r="C318" s="417"/>
      <c r="D318" s="417"/>
      <c r="E318" s="417"/>
      <c r="F318" s="417"/>
      <c r="G318" s="417"/>
      <c r="H318" s="417"/>
      <c r="I318" s="417"/>
      <c r="J318" s="417"/>
      <c r="K318" s="417"/>
      <c r="L318" s="417"/>
      <c r="M318" s="417"/>
      <c r="N318" s="417"/>
      <c r="O318" s="417"/>
      <c r="P318" s="417"/>
      <c r="Q318" s="417"/>
      <c r="R318" s="417"/>
      <c r="S318" s="417"/>
      <c r="T318" s="417"/>
      <c r="U318" s="471"/>
      <c r="V318" s="471"/>
      <c r="W318" s="417"/>
      <c r="X318" s="471"/>
      <c r="Y318" s="471"/>
      <c r="Z318" s="471"/>
      <c r="AA318" s="471"/>
      <c r="AB318" s="471"/>
      <c r="AC318" s="471"/>
      <c r="AD318" s="474"/>
    </row>
    <row r="319" spans="2:30" x14ac:dyDescent="0.25">
      <c r="B319" s="417"/>
      <c r="C319" s="417"/>
      <c r="D319" s="417"/>
      <c r="E319" s="417"/>
      <c r="F319" s="417"/>
      <c r="G319" s="417"/>
      <c r="H319" s="417"/>
      <c r="I319" s="417"/>
      <c r="J319" s="417"/>
      <c r="K319" s="417"/>
      <c r="L319" s="417"/>
      <c r="M319" s="417"/>
      <c r="N319" s="417"/>
      <c r="O319" s="417"/>
      <c r="P319" s="417"/>
      <c r="Q319" s="417"/>
      <c r="R319" s="417"/>
      <c r="S319" s="417"/>
      <c r="T319" s="417"/>
      <c r="U319" s="471"/>
      <c r="V319" s="471"/>
      <c r="W319" s="417"/>
      <c r="X319" s="471"/>
      <c r="Y319" s="471"/>
      <c r="Z319" s="471"/>
      <c r="AA319" s="471"/>
      <c r="AB319" s="471"/>
      <c r="AC319" s="471"/>
      <c r="AD319" s="474"/>
    </row>
    <row r="320" spans="2:30" x14ac:dyDescent="0.25">
      <c r="B320" s="417"/>
      <c r="C320" s="417"/>
      <c r="D320" s="417"/>
      <c r="E320" s="417"/>
      <c r="F320" s="417"/>
      <c r="G320" s="417"/>
      <c r="H320" s="417"/>
      <c r="I320" s="417"/>
      <c r="J320" s="417"/>
      <c r="K320" s="417"/>
      <c r="L320" s="417"/>
      <c r="M320" s="417"/>
      <c r="N320" s="417"/>
      <c r="O320" s="417"/>
      <c r="P320" s="417"/>
      <c r="Q320" s="417"/>
      <c r="R320" s="417"/>
      <c r="S320" s="417"/>
      <c r="T320" s="417"/>
      <c r="U320" s="471"/>
      <c r="V320" s="471"/>
      <c r="W320" s="417"/>
      <c r="X320" s="471"/>
      <c r="Y320" s="471"/>
      <c r="Z320" s="471"/>
      <c r="AA320" s="471"/>
      <c r="AB320" s="471"/>
      <c r="AC320" s="471"/>
      <c r="AD320" s="474"/>
    </row>
    <row r="321" spans="2:29" x14ac:dyDescent="0.25">
      <c r="B321" s="417"/>
      <c r="C321" s="417"/>
      <c r="D321" s="417"/>
      <c r="E321" s="417"/>
      <c r="F321" s="417"/>
      <c r="G321" s="417"/>
      <c r="H321" s="417"/>
      <c r="I321" s="417"/>
      <c r="J321" s="417"/>
      <c r="K321" s="417"/>
      <c r="L321" s="417"/>
      <c r="M321" s="417"/>
      <c r="N321" s="417"/>
      <c r="O321" s="417"/>
      <c r="P321" s="417"/>
      <c r="Q321" s="417"/>
      <c r="R321" s="417"/>
      <c r="S321" s="417"/>
      <c r="T321" s="417"/>
      <c r="U321" s="417"/>
      <c r="V321" s="417"/>
      <c r="W321" s="417"/>
      <c r="X321" s="417"/>
      <c r="Y321" s="417"/>
      <c r="Z321" s="417"/>
      <c r="AA321" s="417"/>
      <c r="AB321" s="417"/>
      <c r="AC321" s="417"/>
    </row>
    <row r="322" spans="2:29" x14ac:dyDescent="0.25">
      <c r="B322" s="417"/>
      <c r="C322" s="417"/>
      <c r="D322" s="417"/>
      <c r="E322" s="417"/>
      <c r="F322" s="417"/>
      <c r="G322" s="417"/>
      <c r="H322" s="417"/>
      <c r="I322" s="417"/>
      <c r="J322" s="417"/>
      <c r="K322" s="417"/>
      <c r="L322" s="417"/>
      <c r="M322" s="417"/>
      <c r="N322" s="417"/>
      <c r="O322" s="417"/>
      <c r="P322" s="417"/>
      <c r="Q322" s="417"/>
      <c r="R322" s="417"/>
      <c r="S322" s="417"/>
      <c r="T322" s="417"/>
      <c r="U322" s="417"/>
      <c r="V322" s="417"/>
      <c r="W322" s="417"/>
      <c r="X322" s="417"/>
      <c r="Y322" s="417"/>
      <c r="Z322" s="417"/>
      <c r="AA322" s="417"/>
      <c r="AB322" s="417"/>
      <c r="AC322" s="417"/>
    </row>
    <row r="323" spans="2:29" x14ac:dyDescent="0.25">
      <c r="B323" s="417"/>
      <c r="C323" s="417"/>
      <c r="D323" s="417"/>
      <c r="E323" s="417"/>
      <c r="F323" s="417"/>
      <c r="G323" s="417"/>
      <c r="H323" s="417"/>
      <c r="I323" s="417"/>
      <c r="J323" s="417"/>
      <c r="K323" s="417"/>
      <c r="L323" s="417"/>
      <c r="M323" s="417"/>
      <c r="N323" s="417"/>
      <c r="O323" s="417"/>
      <c r="P323" s="417"/>
      <c r="Q323" s="417"/>
      <c r="R323" s="417"/>
      <c r="S323" s="417"/>
      <c r="T323" s="417"/>
      <c r="U323" s="417"/>
      <c r="V323" s="417"/>
      <c r="W323" s="417"/>
      <c r="X323" s="417"/>
      <c r="Y323" s="417"/>
      <c r="Z323" s="417"/>
      <c r="AA323" s="417"/>
      <c r="AB323" s="417"/>
      <c r="AC323" s="417"/>
    </row>
    <row r="324" spans="2:29" x14ac:dyDescent="0.25">
      <c r="B324" s="417"/>
      <c r="C324" s="417"/>
      <c r="D324" s="417"/>
      <c r="E324" s="417"/>
      <c r="F324" s="417"/>
      <c r="G324" s="417"/>
      <c r="H324" s="417"/>
      <c r="I324" s="417"/>
      <c r="J324" s="417"/>
      <c r="K324" s="417"/>
      <c r="L324" s="417"/>
      <c r="M324" s="417"/>
      <c r="N324" s="417"/>
      <c r="O324" s="417"/>
      <c r="P324" s="417"/>
      <c r="Q324" s="417"/>
      <c r="R324" s="417"/>
      <c r="S324" s="417"/>
      <c r="T324" s="417"/>
      <c r="U324" s="417"/>
      <c r="V324" s="417"/>
      <c r="W324" s="417"/>
      <c r="X324" s="417"/>
      <c r="Y324" s="417"/>
      <c r="Z324" s="417"/>
      <c r="AA324" s="417"/>
      <c r="AB324" s="417"/>
      <c r="AC324" s="417"/>
    </row>
    <row r="325" spans="2:29" x14ac:dyDescent="0.25">
      <c r="B325" s="417"/>
      <c r="C325" s="417"/>
      <c r="D325" s="417"/>
      <c r="E325" s="417"/>
      <c r="F325" s="417"/>
      <c r="G325" s="417"/>
      <c r="H325" s="417"/>
      <c r="I325" s="417"/>
      <c r="J325" s="417"/>
      <c r="K325" s="417"/>
      <c r="L325" s="417"/>
      <c r="M325" s="417"/>
      <c r="N325" s="417"/>
      <c r="O325" s="417"/>
      <c r="P325" s="417"/>
      <c r="Q325" s="417"/>
      <c r="R325" s="417"/>
      <c r="S325" s="417"/>
      <c r="T325" s="417"/>
      <c r="U325" s="417"/>
      <c r="V325" s="417"/>
      <c r="W325" s="417"/>
      <c r="X325" s="417"/>
      <c r="Y325" s="417"/>
      <c r="Z325" s="417"/>
      <c r="AA325" s="417"/>
      <c r="AB325" s="417"/>
      <c r="AC325" s="417"/>
    </row>
    <row r="326" spans="2:29" x14ac:dyDescent="0.25">
      <c r="B326" s="417"/>
      <c r="C326" s="417"/>
      <c r="D326" s="417"/>
      <c r="E326" s="417"/>
      <c r="F326" s="417"/>
      <c r="G326" s="417"/>
      <c r="H326" s="417"/>
      <c r="I326" s="417"/>
      <c r="J326" s="417"/>
      <c r="K326" s="417"/>
      <c r="L326" s="417"/>
      <c r="M326" s="417"/>
      <c r="N326" s="417"/>
      <c r="O326" s="417"/>
      <c r="P326" s="417"/>
      <c r="Q326" s="417"/>
      <c r="R326" s="417"/>
      <c r="S326" s="417"/>
      <c r="T326" s="417"/>
      <c r="U326" s="417"/>
      <c r="V326" s="417"/>
      <c r="W326" s="417"/>
      <c r="X326" s="417"/>
      <c r="Y326" s="417"/>
      <c r="Z326" s="417"/>
      <c r="AA326" s="417"/>
      <c r="AB326" s="417"/>
      <c r="AC326" s="417"/>
    </row>
    <row r="327" spans="2:29" x14ac:dyDescent="0.25">
      <c r="B327" s="417"/>
      <c r="C327" s="417"/>
      <c r="D327" s="417"/>
      <c r="E327" s="417"/>
      <c r="F327" s="417"/>
      <c r="G327" s="417"/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417"/>
      <c r="AB327" s="417"/>
      <c r="AC327" s="417"/>
    </row>
    <row r="328" spans="2:29" x14ac:dyDescent="0.25">
      <c r="B328" s="417"/>
      <c r="C328" s="417"/>
      <c r="D328" s="417"/>
      <c r="E328" s="417"/>
      <c r="F328" s="417"/>
      <c r="G328" s="417"/>
      <c r="H328" s="417"/>
      <c r="I328" s="417"/>
      <c r="J328" s="417"/>
      <c r="K328" s="417"/>
      <c r="L328" s="417"/>
      <c r="M328" s="417"/>
      <c r="N328" s="417"/>
      <c r="O328" s="417"/>
      <c r="P328" s="417"/>
      <c r="Q328" s="417"/>
      <c r="R328" s="417"/>
      <c r="S328" s="417"/>
      <c r="T328" s="417"/>
      <c r="U328" s="417"/>
      <c r="V328" s="417"/>
      <c r="W328" s="417"/>
      <c r="X328" s="417"/>
      <c r="Y328" s="417"/>
      <c r="Z328" s="417"/>
      <c r="AA328" s="417"/>
      <c r="AB328" s="417"/>
      <c r="AC328" s="417"/>
    </row>
    <row r="329" spans="2:29" x14ac:dyDescent="0.25">
      <c r="B329" s="417"/>
      <c r="C329" s="417"/>
      <c r="D329" s="417"/>
      <c r="E329" s="417"/>
      <c r="F329" s="417"/>
      <c r="G329" s="417"/>
      <c r="H329" s="417"/>
      <c r="I329" s="417"/>
      <c r="J329" s="417"/>
      <c r="K329" s="417"/>
      <c r="L329" s="417"/>
      <c r="M329" s="417"/>
      <c r="N329" s="417"/>
      <c r="O329" s="417"/>
      <c r="P329" s="417"/>
      <c r="Q329" s="417"/>
      <c r="R329" s="417"/>
      <c r="S329" s="417"/>
      <c r="T329" s="417"/>
      <c r="U329" s="417"/>
      <c r="V329" s="417"/>
      <c r="W329" s="417"/>
      <c r="X329" s="417"/>
      <c r="Y329" s="417"/>
      <c r="Z329" s="417"/>
      <c r="AA329" s="417"/>
      <c r="AB329" s="417"/>
      <c r="AC329" s="417"/>
    </row>
    <row r="330" spans="2:29" x14ac:dyDescent="0.25">
      <c r="B330" s="417"/>
      <c r="C330" s="417"/>
      <c r="D330" s="417"/>
      <c r="E330" s="417"/>
      <c r="F330" s="417"/>
      <c r="G330" s="417"/>
      <c r="H330" s="417"/>
      <c r="I330" s="417"/>
      <c r="J330" s="417"/>
      <c r="K330" s="417"/>
      <c r="L330" s="417"/>
      <c r="M330" s="417"/>
      <c r="N330" s="417"/>
      <c r="O330" s="417"/>
      <c r="P330" s="417"/>
      <c r="Q330" s="417"/>
      <c r="R330" s="417"/>
      <c r="S330" s="417"/>
      <c r="T330" s="417"/>
      <c r="U330" s="417"/>
      <c r="V330" s="417"/>
      <c r="W330" s="417"/>
      <c r="X330" s="417"/>
      <c r="Y330" s="417"/>
      <c r="Z330" s="417"/>
      <c r="AA330" s="417"/>
      <c r="AB330" s="417"/>
      <c r="AC330" s="417"/>
    </row>
    <row r="331" spans="2:29" x14ac:dyDescent="0.25">
      <c r="B331" s="417"/>
      <c r="C331" s="417"/>
      <c r="D331" s="417"/>
      <c r="E331" s="417"/>
      <c r="F331" s="417"/>
      <c r="G331" s="417"/>
      <c r="H331" s="417"/>
      <c r="I331" s="417"/>
      <c r="J331" s="417"/>
      <c r="K331" s="417"/>
      <c r="L331" s="417"/>
      <c r="M331" s="417"/>
      <c r="N331" s="417"/>
      <c r="O331" s="417"/>
      <c r="P331" s="417"/>
      <c r="Q331" s="417"/>
      <c r="R331" s="417"/>
      <c r="S331" s="417"/>
      <c r="T331" s="417"/>
      <c r="U331" s="417"/>
      <c r="V331" s="417"/>
      <c r="W331" s="417"/>
      <c r="X331" s="417"/>
      <c r="Y331" s="417"/>
      <c r="Z331" s="417"/>
      <c r="AA331" s="417"/>
      <c r="AB331" s="417"/>
      <c r="AC331" s="417"/>
    </row>
    <row r="332" spans="2:29" x14ac:dyDescent="0.25">
      <c r="B332" s="417"/>
      <c r="C332" s="417"/>
      <c r="D332" s="417"/>
      <c r="E332" s="417"/>
      <c r="F332" s="417"/>
      <c r="G332" s="417"/>
      <c r="H332" s="417"/>
      <c r="I332" s="417"/>
      <c r="J332" s="417"/>
      <c r="K332" s="417"/>
      <c r="L332" s="417"/>
      <c r="M332" s="417"/>
      <c r="N332" s="417"/>
      <c r="O332" s="417"/>
      <c r="P332" s="417"/>
      <c r="Q332" s="417"/>
      <c r="R332" s="417"/>
      <c r="S332" s="417"/>
      <c r="T332" s="417"/>
      <c r="U332" s="417"/>
      <c r="V332" s="417"/>
      <c r="W332" s="417"/>
      <c r="X332" s="417"/>
      <c r="Y332" s="417"/>
      <c r="Z332" s="417"/>
      <c r="AA332" s="417"/>
      <c r="AB332" s="417"/>
      <c r="AC332" s="417"/>
    </row>
    <row r="333" spans="2:29" x14ac:dyDescent="0.25">
      <c r="B333" s="417"/>
      <c r="C333" s="417"/>
      <c r="D333" s="417"/>
      <c r="E333" s="417"/>
      <c r="F333" s="417"/>
      <c r="G333" s="417"/>
      <c r="H333" s="417"/>
      <c r="I333" s="417"/>
      <c r="J333" s="417"/>
      <c r="K333" s="417"/>
      <c r="L333" s="417"/>
      <c r="M333" s="417"/>
      <c r="N333" s="417"/>
      <c r="O333" s="417"/>
      <c r="P333" s="417"/>
      <c r="Q333" s="417"/>
      <c r="R333" s="417"/>
      <c r="S333" s="417"/>
      <c r="T333" s="417"/>
      <c r="U333" s="417"/>
      <c r="V333" s="417"/>
      <c r="W333" s="417"/>
      <c r="X333" s="417"/>
      <c r="Y333" s="417"/>
      <c r="Z333" s="417"/>
      <c r="AA333" s="417"/>
      <c r="AB333" s="417"/>
      <c r="AC333" s="417"/>
    </row>
    <row r="334" spans="2:29" x14ac:dyDescent="0.25">
      <c r="B334" s="417"/>
      <c r="C334" s="417"/>
      <c r="D334" s="417"/>
      <c r="E334" s="417"/>
      <c r="F334" s="417"/>
      <c r="G334" s="417"/>
      <c r="H334" s="417"/>
      <c r="I334" s="417"/>
      <c r="J334" s="417"/>
      <c r="K334" s="417"/>
      <c r="L334" s="417"/>
      <c r="M334" s="417"/>
      <c r="N334" s="417"/>
      <c r="O334" s="417"/>
      <c r="P334" s="417"/>
      <c r="Q334" s="417"/>
      <c r="R334" s="417"/>
      <c r="S334" s="417"/>
      <c r="T334" s="417"/>
      <c r="U334" s="417"/>
      <c r="V334" s="417"/>
      <c r="W334" s="417"/>
      <c r="X334" s="417"/>
      <c r="Y334" s="417"/>
      <c r="Z334" s="417"/>
      <c r="AA334" s="417"/>
      <c r="AB334" s="417"/>
      <c r="AC334" s="417"/>
    </row>
    <row r="335" spans="2:29" x14ac:dyDescent="0.25">
      <c r="B335" s="417"/>
      <c r="C335" s="417"/>
      <c r="D335" s="417"/>
      <c r="E335" s="417"/>
      <c r="F335" s="417"/>
      <c r="G335" s="417"/>
      <c r="H335" s="417"/>
      <c r="I335" s="417"/>
      <c r="J335" s="417"/>
      <c r="K335" s="417"/>
      <c r="L335" s="417"/>
      <c r="M335" s="417"/>
      <c r="N335" s="417"/>
      <c r="O335" s="417"/>
      <c r="P335" s="417"/>
      <c r="Q335" s="417"/>
      <c r="R335" s="417"/>
      <c r="S335" s="417"/>
      <c r="T335" s="417"/>
      <c r="U335" s="417"/>
      <c r="V335" s="417"/>
      <c r="W335" s="417"/>
      <c r="X335" s="417"/>
      <c r="Y335" s="417"/>
      <c r="Z335" s="417"/>
      <c r="AA335" s="417"/>
      <c r="AB335" s="417"/>
      <c r="AC335" s="417"/>
    </row>
    <row r="336" spans="2:29" x14ac:dyDescent="0.25">
      <c r="B336" s="417"/>
      <c r="C336" s="417"/>
      <c r="D336" s="417"/>
      <c r="E336" s="417"/>
      <c r="F336" s="417"/>
      <c r="G336" s="417"/>
      <c r="H336" s="417"/>
      <c r="I336" s="417"/>
      <c r="J336" s="417"/>
      <c r="K336" s="417"/>
      <c r="L336" s="417"/>
      <c r="M336" s="417"/>
      <c r="N336" s="417"/>
      <c r="O336" s="417"/>
      <c r="P336" s="417"/>
      <c r="Q336" s="417"/>
      <c r="R336" s="417"/>
      <c r="S336" s="417"/>
      <c r="T336" s="417"/>
      <c r="U336" s="417"/>
      <c r="V336" s="417"/>
      <c r="W336" s="417"/>
      <c r="X336" s="417"/>
      <c r="Y336" s="417"/>
      <c r="Z336" s="417"/>
      <c r="AA336" s="417"/>
      <c r="AB336" s="417"/>
      <c r="AC336" s="417"/>
    </row>
    <row r="337" spans="2:29" x14ac:dyDescent="0.25">
      <c r="B337" s="417"/>
      <c r="C337" s="417"/>
      <c r="D337" s="417"/>
      <c r="E337" s="417"/>
      <c r="F337" s="417"/>
      <c r="G337" s="417"/>
      <c r="H337" s="417"/>
      <c r="I337" s="417"/>
      <c r="J337" s="417"/>
      <c r="K337" s="417"/>
      <c r="L337" s="417"/>
      <c r="M337" s="417"/>
      <c r="N337" s="417"/>
      <c r="O337" s="417"/>
      <c r="P337" s="417"/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7"/>
      <c r="AB337" s="417"/>
      <c r="AC337" s="417"/>
    </row>
    <row r="338" spans="2:29" x14ac:dyDescent="0.25">
      <c r="B338" s="417"/>
      <c r="C338" s="417"/>
      <c r="D338" s="417"/>
      <c r="E338" s="417"/>
      <c r="F338" s="417"/>
      <c r="G338" s="417"/>
      <c r="H338" s="417"/>
      <c r="I338" s="417"/>
      <c r="J338" s="417"/>
      <c r="K338" s="417"/>
      <c r="L338" s="417"/>
      <c r="M338" s="417"/>
      <c r="N338" s="417"/>
      <c r="O338" s="417"/>
      <c r="P338" s="417"/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7"/>
      <c r="AB338" s="417"/>
      <c r="AC338" s="417"/>
    </row>
    <row r="339" spans="2:29" x14ac:dyDescent="0.25">
      <c r="B339" s="417"/>
      <c r="C339" s="417"/>
      <c r="D339" s="417"/>
      <c r="E339" s="417"/>
      <c r="F339" s="417"/>
      <c r="G339" s="417"/>
      <c r="H339" s="417"/>
      <c r="I339" s="417"/>
      <c r="J339" s="417"/>
      <c r="K339" s="417"/>
      <c r="L339" s="417"/>
      <c r="M339" s="417"/>
      <c r="N339" s="417"/>
      <c r="O339" s="417"/>
      <c r="P339" s="417"/>
      <c r="Q339" s="417"/>
      <c r="R339" s="417"/>
      <c r="S339" s="417"/>
      <c r="T339" s="417"/>
      <c r="U339" s="417"/>
      <c r="V339" s="417"/>
      <c r="W339" s="417"/>
      <c r="X339" s="417"/>
      <c r="Y339" s="417"/>
      <c r="Z339" s="417"/>
      <c r="AA339" s="417"/>
      <c r="AB339" s="417"/>
      <c r="AC339" s="417"/>
    </row>
    <row r="340" spans="2:29" x14ac:dyDescent="0.25">
      <c r="B340" s="417"/>
      <c r="C340" s="417"/>
      <c r="D340" s="417"/>
      <c r="E340" s="417"/>
      <c r="F340" s="417"/>
      <c r="G340" s="417"/>
      <c r="H340" s="417"/>
      <c r="I340" s="417"/>
      <c r="J340" s="417"/>
      <c r="K340" s="417"/>
      <c r="L340" s="417"/>
      <c r="M340" s="417"/>
      <c r="N340" s="417"/>
      <c r="O340" s="417"/>
      <c r="P340" s="417"/>
      <c r="Q340" s="417"/>
      <c r="R340" s="417"/>
      <c r="S340" s="417"/>
      <c r="T340" s="417"/>
      <c r="U340" s="417"/>
      <c r="V340" s="417"/>
      <c r="W340" s="417"/>
      <c r="X340" s="417"/>
      <c r="Y340" s="417"/>
      <c r="Z340" s="417"/>
      <c r="AA340" s="417"/>
      <c r="AB340" s="417"/>
      <c r="AC340" s="417"/>
    </row>
    <row r="341" spans="2:29" x14ac:dyDescent="0.25">
      <c r="B341" s="417"/>
      <c r="C341" s="417"/>
      <c r="D341" s="417"/>
      <c r="E341" s="417"/>
      <c r="F341" s="417"/>
      <c r="G341" s="417"/>
      <c r="H341" s="417"/>
      <c r="I341" s="417"/>
      <c r="J341" s="417"/>
      <c r="K341" s="417"/>
      <c r="L341" s="417"/>
      <c r="M341" s="417"/>
      <c r="N341" s="417"/>
      <c r="O341" s="417"/>
      <c r="P341" s="417"/>
      <c r="Q341" s="417"/>
      <c r="R341" s="417"/>
      <c r="S341" s="417"/>
      <c r="T341" s="417"/>
      <c r="U341" s="417"/>
      <c r="V341" s="417"/>
      <c r="W341" s="417"/>
      <c r="X341" s="417"/>
      <c r="Y341" s="417"/>
      <c r="Z341" s="417"/>
      <c r="AA341" s="417"/>
      <c r="AB341" s="417"/>
      <c r="AC341" s="417"/>
    </row>
    <row r="342" spans="2:29" x14ac:dyDescent="0.25">
      <c r="B342" s="417"/>
      <c r="C342" s="417"/>
      <c r="D342" s="417"/>
      <c r="E342" s="417"/>
      <c r="F342" s="417"/>
      <c r="G342" s="417"/>
      <c r="H342" s="417"/>
      <c r="I342" s="417"/>
      <c r="J342" s="417"/>
      <c r="K342" s="417"/>
      <c r="L342" s="417"/>
      <c r="M342" s="417"/>
      <c r="N342" s="417"/>
      <c r="O342" s="417"/>
      <c r="P342" s="417"/>
      <c r="Q342" s="417"/>
      <c r="R342" s="417"/>
      <c r="S342" s="417"/>
      <c r="T342" s="417"/>
      <c r="U342" s="417"/>
      <c r="V342" s="417"/>
      <c r="W342" s="417"/>
      <c r="X342" s="417"/>
      <c r="Y342" s="417"/>
      <c r="Z342" s="417"/>
      <c r="AA342" s="417"/>
      <c r="AB342" s="417"/>
      <c r="AC342" s="417"/>
    </row>
    <row r="343" spans="2:29" x14ac:dyDescent="0.25">
      <c r="B343" s="417"/>
      <c r="C343" s="417"/>
      <c r="D343" s="417"/>
      <c r="E343" s="417"/>
      <c r="F343" s="417"/>
      <c r="G343" s="417"/>
      <c r="H343" s="417"/>
      <c r="I343" s="417"/>
      <c r="J343" s="417"/>
      <c r="K343" s="417"/>
      <c r="L343" s="417"/>
      <c r="M343" s="417"/>
      <c r="N343" s="417"/>
      <c r="O343" s="417"/>
      <c r="P343" s="417"/>
      <c r="Q343" s="417"/>
      <c r="R343" s="417"/>
      <c r="S343" s="417"/>
      <c r="T343" s="417"/>
      <c r="U343" s="417"/>
      <c r="V343" s="417"/>
      <c r="W343" s="417"/>
      <c r="X343" s="417"/>
      <c r="Y343" s="417"/>
      <c r="Z343" s="417"/>
      <c r="AA343" s="417"/>
      <c r="AB343" s="417"/>
      <c r="AC343" s="417"/>
    </row>
    <row r="344" spans="2:29" x14ac:dyDescent="0.25">
      <c r="B344" s="417"/>
      <c r="C344" s="417"/>
      <c r="D344" s="417"/>
      <c r="E344" s="417"/>
      <c r="F344" s="417"/>
      <c r="G344" s="417"/>
      <c r="H344" s="417"/>
      <c r="I344" s="417"/>
      <c r="J344" s="417"/>
      <c r="K344" s="417"/>
      <c r="L344" s="417"/>
      <c r="M344" s="417"/>
      <c r="N344" s="417"/>
      <c r="O344" s="417"/>
      <c r="P344" s="417"/>
      <c r="Q344" s="417"/>
      <c r="R344" s="417"/>
      <c r="S344" s="417"/>
      <c r="T344" s="417"/>
      <c r="U344" s="417"/>
      <c r="V344" s="417"/>
      <c r="W344" s="417"/>
      <c r="X344" s="417"/>
      <c r="Y344" s="417"/>
      <c r="Z344" s="417"/>
      <c r="AA344" s="417"/>
      <c r="AB344" s="417"/>
      <c r="AC344" s="417"/>
    </row>
    <row r="345" spans="2:29" x14ac:dyDescent="0.25">
      <c r="B345" s="417"/>
      <c r="C345" s="417"/>
      <c r="D345" s="417"/>
      <c r="E345" s="417"/>
      <c r="F345" s="417"/>
      <c r="G345" s="417"/>
      <c r="H345" s="417"/>
      <c r="I345" s="417"/>
      <c r="J345" s="417"/>
      <c r="K345" s="417"/>
      <c r="L345" s="417"/>
      <c r="M345" s="417"/>
      <c r="N345" s="417"/>
      <c r="O345" s="417"/>
      <c r="P345" s="417"/>
      <c r="Q345" s="417"/>
      <c r="R345" s="417"/>
      <c r="S345" s="417"/>
      <c r="T345" s="417"/>
      <c r="U345" s="417"/>
      <c r="V345" s="417"/>
      <c r="W345" s="417"/>
      <c r="X345" s="417"/>
      <c r="Y345" s="417"/>
      <c r="Z345" s="417"/>
      <c r="AA345" s="417"/>
      <c r="AB345" s="417"/>
      <c r="AC345" s="417"/>
    </row>
    <row r="346" spans="2:29" x14ac:dyDescent="0.25">
      <c r="B346" s="417"/>
      <c r="C346" s="417"/>
      <c r="D346" s="417"/>
      <c r="E346" s="417"/>
      <c r="F346" s="417"/>
      <c r="G346" s="417"/>
      <c r="H346" s="417"/>
      <c r="I346" s="417"/>
      <c r="J346" s="417"/>
      <c r="K346" s="417"/>
      <c r="L346" s="417"/>
      <c r="M346" s="417"/>
      <c r="N346" s="417"/>
      <c r="O346" s="417"/>
      <c r="P346" s="417"/>
      <c r="Q346" s="417"/>
      <c r="R346" s="417"/>
      <c r="S346" s="417"/>
      <c r="T346" s="417"/>
      <c r="U346" s="417"/>
      <c r="V346" s="417"/>
      <c r="W346" s="417"/>
      <c r="X346" s="417"/>
      <c r="Y346" s="417"/>
      <c r="Z346" s="417"/>
      <c r="AA346" s="417"/>
      <c r="AB346" s="417"/>
      <c r="AC346" s="417"/>
    </row>
    <row r="347" spans="2:29" x14ac:dyDescent="0.25">
      <c r="B347" s="417"/>
      <c r="C347" s="417"/>
      <c r="D347" s="417"/>
      <c r="E347" s="417"/>
      <c r="F347" s="417"/>
      <c r="G347" s="417"/>
      <c r="H347" s="417"/>
      <c r="I347" s="417"/>
      <c r="J347" s="417"/>
      <c r="K347" s="417"/>
      <c r="L347" s="417"/>
      <c r="M347" s="417"/>
      <c r="N347" s="417"/>
      <c r="O347" s="417"/>
      <c r="P347" s="417"/>
      <c r="Q347" s="417"/>
      <c r="R347" s="417"/>
      <c r="S347" s="417"/>
      <c r="T347" s="417"/>
      <c r="U347" s="417"/>
      <c r="V347" s="417"/>
      <c r="W347" s="417"/>
      <c r="X347" s="417"/>
      <c r="Y347" s="417"/>
      <c r="Z347" s="417"/>
      <c r="AA347" s="417"/>
      <c r="AB347" s="417"/>
      <c r="AC347" s="417"/>
    </row>
    <row r="348" spans="2:29" x14ac:dyDescent="0.25">
      <c r="B348" s="417"/>
      <c r="C348" s="417"/>
      <c r="D348" s="417"/>
      <c r="E348" s="417"/>
      <c r="F348" s="417"/>
      <c r="G348" s="417"/>
      <c r="H348" s="417"/>
      <c r="I348" s="417"/>
      <c r="J348" s="417"/>
      <c r="K348" s="417"/>
      <c r="L348" s="417"/>
      <c r="M348" s="417"/>
      <c r="N348" s="417"/>
      <c r="O348" s="417"/>
      <c r="P348" s="417"/>
      <c r="Q348" s="417"/>
      <c r="R348" s="417"/>
      <c r="S348" s="417"/>
      <c r="T348" s="417"/>
      <c r="U348" s="417"/>
      <c r="V348" s="417"/>
      <c r="W348" s="417"/>
      <c r="X348" s="417"/>
      <c r="Y348" s="417"/>
      <c r="Z348" s="417"/>
      <c r="AA348" s="417"/>
      <c r="AB348" s="417"/>
      <c r="AC348" s="417"/>
    </row>
    <row r="349" spans="2:29" x14ac:dyDescent="0.25">
      <c r="B349" s="417"/>
      <c r="C349" s="417"/>
      <c r="D349" s="417"/>
      <c r="E349" s="417"/>
      <c r="F349" s="417"/>
      <c r="G349" s="417"/>
      <c r="H349" s="417"/>
      <c r="I349" s="417"/>
      <c r="J349" s="417"/>
      <c r="K349" s="417"/>
      <c r="L349" s="417"/>
      <c r="M349" s="417"/>
      <c r="N349" s="417"/>
      <c r="O349" s="417"/>
      <c r="P349" s="417"/>
      <c r="Q349" s="417"/>
      <c r="R349" s="417"/>
      <c r="S349" s="417"/>
      <c r="T349" s="417"/>
      <c r="U349" s="417"/>
      <c r="V349" s="417"/>
      <c r="W349" s="417"/>
      <c r="X349" s="417"/>
      <c r="Y349" s="417"/>
      <c r="Z349" s="417"/>
      <c r="AA349" s="417"/>
      <c r="AB349" s="417"/>
      <c r="AC349" s="417"/>
    </row>
    <row r="350" spans="2:29" x14ac:dyDescent="0.25">
      <c r="B350" s="417"/>
      <c r="C350" s="417"/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17"/>
      <c r="O350" s="417"/>
      <c r="P350" s="417"/>
      <c r="Q350" s="417"/>
      <c r="R350" s="417"/>
      <c r="S350" s="417"/>
      <c r="T350" s="417"/>
      <c r="U350" s="417"/>
      <c r="V350" s="417"/>
      <c r="W350" s="417"/>
      <c r="X350" s="417"/>
      <c r="Y350" s="417"/>
      <c r="Z350" s="417"/>
      <c r="AA350" s="417"/>
      <c r="AB350" s="417"/>
      <c r="AC350" s="417"/>
    </row>
    <row r="351" spans="2:29" x14ac:dyDescent="0.25">
      <c r="B351" s="417"/>
      <c r="C351" s="417"/>
      <c r="D351" s="417"/>
      <c r="E351" s="417"/>
      <c r="F351" s="417"/>
      <c r="G351" s="417"/>
      <c r="H351" s="417"/>
      <c r="I351" s="417"/>
      <c r="J351" s="417"/>
      <c r="K351" s="417"/>
      <c r="L351" s="417"/>
      <c r="M351" s="417"/>
      <c r="N351" s="417"/>
      <c r="O351" s="417"/>
      <c r="P351" s="417"/>
      <c r="Q351" s="417"/>
      <c r="R351" s="417"/>
      <c r="S351" s="417"/>
      <c r="T351" s="417"/>
      <c r="U351" s="417"/>
      <c r="V351" s="417"/>
      <c r="W351" s="417"/>
      <c r="X351" s="417"/>
      <c r="Y351" s="417"/>
      <c r="Z351" s="417"/>
      <c r="AA351" s="417"/>
      <c r="AB351" s="417"/>
      <c r="AC351" s="417"/>
    </row>
    <row r="352" spans="2:29" x14ac:dyDescent="0.25">
      <c r="B352" s="417"/>
      <c r="C352" s="417"/>
      <c r="D352" s="417"/>
      <c r="E352" s="417"/>
      <c r="F352" s="417"/>
      <c r="G352" s="417"/>
      <c r="H352" s="417"/>
      <c r="I352" s="417"/>
      <c r="J352" s="417"/>
      <c r="K352" s="417"/>
      <c r="L352" s="417"/>
      <c r="M352" s="417"/>
      <c r="N352" s="417"/>
      <c r="O352" s="417"/>
      <c r="P352" s="417"/>
      <c r="Q352" s="417"/>
      <c r="R352" s="417"/>
      <c r="S352" s="417"/>
      <c r="T352" s="417"/>
      <c r="U352" s="417"/>
      <c r="V352" s="417"/>
      <c r="W352" s="417"/>
      <c r="X352" s="417"/>
      <c r="Y352" s="417"/>
      <c r="Z352" s="417"/>
      <c r="AA352" s="417"/>
      <c r="AB352" s="417"/>
      <c r="AC352" s="417"/>
    </row>
    <row r="353" spans="2:29" x14ac:dyDescent="0.25">
      <c r="B353" s="417"/>
      <c r="C353" s="417"/>
      <c r="D353" s="417"/>
      <c r="E353" s="417"/>
      <c r="F353" s="417"/>
      <c r="G353" s="417"/>
      <c r="H353" s="417"/>
      <c r="I353" s="417"/>
      <c r="J353" s="417"/>
      <c r="K353" s="417"/>
      <c r="L353" s="417"/>
      <c r="M353" s="417"/>
      <c r="N353" s="417"/>
      <c r="O353" s="417"/>
      <c r="P353" s="417"/>
      <c r="Q353" s="417"/>
      <c r="R353" s="417"/>
      <c r="S353" s="417"/>
      <c r="T353" s="417"/>
      <c r="U353" s="417"/>
      <c r="V353" s="417"/>
      <c r="W353" s="417"/>
      <c r="X353" s="417"/>
      <c r="Y353" s="417"/>
      <c r="Z353" s="417"/>
      <c r="AA353" s="417"/>
      <c r="AB353" s="417"/>
      <c r="AC353" s="417"/>
    </row>
    <row r="354" spans="2:29" x14ac:dyDescent="0.25"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417"/>
      <c r="P354" s="417"/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</row>
    <row r="355" spans="2:29" x14ac:dyDescent="0.25">
      <c r="B355" s="417"/>
      <c r="C355" s="417"/>
      <c r="D355" s="417"/>
      <c r="E355" s="417"/>
      <c r="F355" s="417"/>
      <c r="G355" s="417"/>
      <c r="H355" s="417"/>
      <c r="I355" s="417"/>
      <c r="J355" s="417"/>
      <c r="K355" s="417"/>
      <c r="L355" s="417"/>
      <c r="M355" s="417"/>
      <c r="N355" s="417"/>
      <c r="O355" s="417"/>
      <c r="P355" s="417"/>
      <c r="Q355" s="417"/>
      <c r="R355" s="417"/>
      <c r="S355" s="417"/>
      <c r="T355" s="417"/>
      <c r="U355" s="417"/>
      <c r="V355" s="417"/>
      <c r="W355" s="417"/>
      <c r="X355" s="417"/>
      <c r="Y355" s="417"/>
      <c r="Z355" s="417"/>
      <c r="AA355" s="417"/>
      <c r="AB355" s="417"/>
      <c r="AC355" s="417"/>
    </row>
    <row r="356" spans="2:29" x14ac:dyDescent="0.25">
      <c r="B356" s="417"/>
      <c r="C356" s="417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17"/>
      <c r="O356" s="417"/>
      <c r="P356" s="417"/>
      <c r="Q356" s="417"/>
      <c r="R356" s="417"/>
      <c r="S356" s="417"/>
      <c r="T356" s="417"/>
      <c r="U356" s="417"/>
      <c r="V356" s="417"/>
      <c r="W356" s="417"/>
      <c r="X356" s="417"/>
      <c r="Y356" s="417"/>
      <c r="Z356" s="417"/>
      <c r="AA356" s="417"/>
      <c r="AB356" s="417"/>
      <c r="AC356" s="417"/>
    </row>
    <row r="357" spans="2:29" x14ac:dyDescent="0.25">
      <c r="B357" s="417"/>
      <c r="C357" s="417"/>
      <c r="D357" s="417"/>
      <c r="E357" s="417"/>
      <c r="F357" s="417"/>
      <c r="G357" s="417"/>
      <c r="H357" s="417"/>
      <c r="I357" s="417"/>
      <c r="J357" s="417"/>
      <c r="K357" s="417"/>
      <c r="L357" s="417"/>
      <c r="M357" s="417"/>
      <c r="N357" s="417"/>
      <c r="O357" s="417"/>
      <c r="P357" s="417"/>
      <c r="Q357" s="417"/>
      <c r="R357" s="417"/>
      <c r="S357" s="417"/>
      <c r="T357" s="417"/>
      <c r="U357" s="417"/>
      <c r="V357" s="417"/>
      <c r="W357" s="417"/>
      <c r="X357" s="417"/>
      <c r="Y357" s="417"/>
      <c r="Z357" s="417"/>
      <c r="AA357" s="417"/>
      <c r="AB357" s="417"/>
      <c r="AC357" s="417"/>
    </row>
    <row r="358" spans="2:29" x14ac:dyDescent="0.25">
      <c r="B358" s="417"/>
      <c r="C358" s="417"/>
      <c r="D358" s="417"/>
      <c r="E358" s="417"/>
      <c r="F358" s="417"/>
      <c r="G358" s="417"/>
      <c r="H358" s="417"/>
      <c r="I358" s="417"/>
      <c r="J358" s="417"/>
      <c r="K358" s="417"/>
      <c r="L358" s="417"/>
      <c r="M358" s="417"/>
      <c r="N358" s="417"/>
      <c r="O358" s="417"/>
      <c r="P358" s="417"/>
      <c r="Q358" s="417"/>
      <c r="R358" s="417"/>
      <c r="S358" s="417"/>
      <c r="T358" s="417"/>
      <c r="U358" s="417"/>
      <c r="V358" s="417"/>
      <c r="W358" s="417"/>
      <c r="X358" s="417"/>
      <c r="Y358" s="417"/>
      <c r="Z358" s="417"/>
      <c r="AA358" s="417"/>
      <c r="AB358" s="417"/>
      <c r="AC358" s="417"/>
    </row>
    <row r="359" spans="2:29" x14ac:dyDescent="0.25">
      <c r="B359" s="417"/>
      <c r="C359" s="417"/>
      <c r="D359" s="417"/>
      <c r="E359" s="417"/>
      <c r="F359" s="417"/>
      <c r="G359" s="417"/>
      <c r="H359" s="417"/>
      <c r="I359" s="417"/>
      <c r="J359" s="417"/>
      <c r="K359" s="417"/>
      <c r="L359" s="417"/>
      <c r="M359" s="417"/>
      <c r="N359" s="417"/>
      <c r="O359" s="417"/>
      <c r="P359" s="417"/>
      <c r="Q359" s="417"/>
      <c r="R359" s="417"/>
      <c r="S359" s="417"/>
      <c r="T359" s="417"/>
      <c r="U359" s="417"/>
      <c r="V359" s="417"/>
      <c r="W359" s="417"/>
      <c r="X359" s="417"/>
      <c r="Y359" s="417"/>
      <c r="Z359" s="417"/>
      <c r="AA359" s="417"/>
      <c r="AB359" s="417"/>
      <c r="AC359" s="417"/>
    </row>
    <row r="360" spans="2:29" x14ac:dyDescent="0.25">
      <c r="B360" s="417"/>
      <c r="C360" s="417"/>
      <c r="D360" s="417"/>
      <c r="E360" s="417"/>
      <c r="F360" s="417"/>
      <c r="G360" s="417"/>
      <c r="H360" s="417"/>
      <c r="I360" s="417"/>
      <c r="J360" s="417"/>
      <c r="K360" s="417"/>
      <c r="L360" s="417"/>
      <c r="M360" s="417"/>
      <c r="N360" s="417"/>
      <c r="O360" s="417"/>
      <c r="P360" s="417"/>
      <c r="Q360" s="417"/>
      <c r="R360" s="417"/>
      <c r="S360" s="417"/>
      <c r="T360" s="417"/>
      <c r="U360" s="417"/>
      <c r="V360" s="417"/>
      <c r="W360" s="417"/>
      <c r="X360" s="417"/>
      <c r="Y360" s="417"/>
      <c r="Z360" s="417"/>
      <c r="AA360" s="417"/>
      <c r="AB360" s="417"/>
      <c r="AC360" s="417"/>
    </row>
    <row r="361" spans="2:29" x14ac:dyDescent="0.25">
      <c r="B361" s="417"/>
      <c r="C361" s="417"/>
      <c r="D361" s="417"/>
      <c r="E361" s="417"/>
      <c r="F361" s="417"/>
      <c r="G361" s="417"/>
      <c r="H361" s="417"/>
      <c r="I361" s="417"/>
      <c r="J361" s="417"/>
      <c r="K361" s="417"/>
      <c r="L361" s="417"/>
      <c r="M361" s="417"/>
      <c r="N361" s="417"/>
      <c r="O361" s="417"/>
      <c r="P361" s="417"/>
      <c r="Q361" s="417"/>
      <c r="R361" s="417"/>
      <c r="S361" s="417"/>
      <c r="T361" s="417"/>
      <c r="U361" s="417"/>
      <c r="V361" s="417"/>
      <c r="W361" s="417"/>
      <c r="X361" s="417"/>
      <c r="Y361" s="417"/>
      <c r="Z361" s="417"/>
      <c r="AA361" s="417"/>
      <c r="AB361" s="417"/>
      <c r="AC361" s="417"/>
    </row>
    <row r="362" spans="2:29" x14ac:dyDescent="0.25">
      <c r="B362" s="417"/>
      <c r="C362" s="417"/>
      <c r="D362" s="417"/>
      <c r="E362" s="417"/>
      <c r="F362" s="417"/>
      <c r="G362" s="417"/>
      <c r="H362" s="417"/>
      <c r="I362" s="417"/>
      <c r="J362" s="417"/>
      <c r="K362" s="417"/>
      <c r="L362" s="417"/>
      <c r="M362" s="417"/>
      <c r="N362" s="417"/>
      <c r="O362" s="417"/>
      <c r="P362" s="417"/>
      <c r="Q362" s="417"/>
      <c r="R362" s="417"/>
      <c r="S362" s="417"/>
      <c r="T362" s="417"/>
      <c r="U362" s="417"/>
      <c r="V362" s="417"/>
      <c r="W362" s="417"/>
      <c r="X362" s="417"/>
      <c r="Y362" s="417"/>
      <c r="Z362" s="417"/>
      <c r="AA362" s="417"/>
      <c r="AB362" s="417"/>
      <c r="AC362" s="417"/>
    </row>
    <row r="363" spans="2:29" x14ac:dyDescent="0.25">
      <c r="B363" s="417"/>
      <c r="C363" s="417"/>
      <c r="D363" s="417"/>
      <c r="E363" s="417"/>
      <c r="F363" s="417"/>
      <c r="G363" s="417"/>
      <c r="H363" s="417"/>
      <c r="I363" s="417"/>
      <c r="J363" s="417"/>
      <c r="K363" s="417"/>
      <c r="L363" s="417"/>
      <c r="M363" s="417"/>
      <c r="N363" s="417"/>
      <c r="O363" s="417"/>
      <c r="P363" s="417"/>
      <c r="Q363" s="417"/>
      <c r="R363" s="417"/>
      <c r="S363" s="417"/>
      <c r="T363" s="417"/>
      <c r="U363" s="417"/>
      <c r="V363" s="417"/>
      <c r="W363" s="417"/>
      <c r="X363" s="417"/>
      <c r="Y363" s="417"/>
      <c r="Z363" s="417"/>
      <c r="AA363" s="417"/>
      <c r="AB363" s="417"/>
      <c r="AC363" s="417"/>
    </row>
    <row r="364" spans="2:29" x14ac:dyDescent="0.25">
      <c r="B364" s="417"/>
      <c r="C364" s="417"/>
      <c r="D364" s="417"/>
      <c r="E364" s="417"/>
      <c r="F364" s="417"/>
      <c r="G364" s="417"/>
      <c r="H364" s="417"/>
      <c r="I364" s="417"/>
      <c r="J364" s="417"/>
      <c r="K364" s="417"/>
      <c r="L364" s="417"/>
      <c r="M364" s="417"/>
      <c r="N364" s="417"/>
      <c r="O364" s="417"/>
      <c r="P364" s="417"/>
      <c r="Q364" s="417"/>
      <c r="R364" s="417"/>
      <c r="S364" s="417"/>
      <c r="T364" s="417"/>
      <c r="U364" s="417"/>
      <c r="V364" s="417"/>
      <c r="W364" s="417"/>
      <c r="X364" s="417"/>
      <c r="Y364" s="417"/>
      <c r="Z364" s="417"/>
      <c r="AA364" s="417"/>
      <c r="AB364" s="417"/>
      <c r="AC364" s="417"/>
    </row>
    <row r="365" spans="2:29" x14ac:dyDescent="0.25">
      <c r="B365" s="417"/>
      <c r="C365" s="417"/>
      <c r="D365" s="417"/>
      <c r="E365" s="417"/>
      <c r="F365" s="417"/>
      <c r="G365" s="417"/>
      <c r="H365" s="417"/>
      <c r="I365" s="417"/>
      <c r="J365" s="417"/>
      <c r="K365" s="417"/>
      <c r="L365" s="417"/>
      <c r="M365" s="417"/>
      <c r="N365" s="417"/>
      <c r="O365" s="417"/>
      <c r="P365" s="417"/>
      <c r="Q365" s="417"/>
      <c r="R365" s="417"/>
      <c r="S365" s="417"/>
      <c r="T365" s="417"/>
      <c r="U365" s="417"/>
      <c r="V365" s="417"/>
      <c r="W365" s="417"/>
      <c r="X365" s="417"/>
      <c r="Y365" s="417"/>
      <c r="Z365" s="417"/>
      <c r="AA365" s="417"/>
      <c r="AB365" s="417"/>
      <c r="AC365" s="417"/>
    </row>
    <row r="366" spans="2:29" x14ac:dyDescent="0.25">
      <c r="B366" s="417"/>
      <c r="C366" s="417"/>
      <c r="D366" s="417"/>
      <c r="E366" s="417"/>
      <c r="F366" s="417"/>
      <c r="G366" s="417"/>
      <c r="H366" s="417"/>
      <c r="I366" s="417"/>
      <c r="J366" s="417"/>
      <c r="K366" s="417"/>
      <c r="L366" s="417"/>
      <c r="M366" s="417"/>
      <c r="N366" s="417"/>
      <c r="O366" s="417"/>
      <c r="P366" s="417"/>
      <c r="Q366" s="417"/>
      <c r="R366" s="417"/>
      <c r="S366" s="417"/>
      <c r="T366" s="417"/>
      <c r="U366" s="417"/>
      <c r="V366" s="417"/>
      <c r="W366" s="417"/>
      <c r="X366" s="417"/>
      <c r="Y366" s="417"/>
      <c r="Z366" s="417"/>
      <c r="AA366" s="417"/>
      <c r="AB366" s="417"/>
      <c r="AC366" s="417"/>
    </row>
    <row r="367" spans="2:29" x14ac:dyDescent="0.25">
      <c r="B367" s="417"/>
      <c r="C367" s="417"/>
      <c r="D367" s="417"/>
      <c r="E367" s="417"/>
      <c r="F367" s="417"/>
      <c r="G367" s="417"/>
      <c r="H367" s="417"/>
      <c r="I367" s="417"/>
      <c r="J367" s="417"/>
      <c r="K367" s="417"/>
      <c r="L367" s="417"/>
      <c r="M367" s="417"/>
      <c r="N367" s="417"/>
      <c r="O367" s="417"/>
      <c r="P367" s="417"/>
      <c r="Q367" s="417"/>
      <c r="R367" s="417"/>
      <c r="S367" s="417"/>
      <c r="T367" s="417"/>
      <c r="U367" s="417"/>
      <c r="V367" s="417"/>
      <c r="W367" s="417"/>
      <c r="X367" s="417"/>
      <c r="Y367" s="417"/>
      <c r="Z367" s="417"/>
      <c r="AA367" s="417"/>
      <c r="AB367" s="417"/>
      <c r="AC367" s="417"/>
    </row>
    <row r="368" spans="2:29" x14ac:dyDescent="0.25">
      <c r="B368" s="417"/>
      <c r="C368" s="417"/>
      <c r="D368" s="417"/>
      <c r="E368" s="417"/>
      <c r="F368" s="417"/>
      <c r="G368" s="417"/>
      <c r="H368" s="417"/>
      <c r="I368" s="417"/>
      <c r="J368" s="417"/>
      <c r="K368" s="417"/>
      <c r="L368" s="417"/>
      <c r="M368" s="417"/>
      <c r="N368" s="417"/>
      <c r="O368" s="417"/>
      <c r="P368" s="417"/>
      <c r="Q368" s="417"/>
      <c r="R368" s="417"/>
      <c r="S368" s="417"/>
      <c r="T368" s="417"/>
      <c r="U368" s="417"/>
      <c r="V368" s="417"/>
      <c r="W368" s="417"/>
      <c r="X368" s="417"/>
      <c r="Y368" s="417"/>
      <c r="Z368" s="417"/>
      <c r="AA368" s="417"/>
      <c r="AB368" s="417"/>
      <c r="AC368" s="417"/>
    </row>
    <row r="369" spans="2:29" x14ac:dyDescent="0.25">
      <c r="B369" s="417"/>
      <c r="C369" s="417"/>
      <c r="D369" s="417"/>
      <c r="E369" s="417"/>
      <c r="F369" s="417"/>
      <c r="G369" s="417"/>
      <c r="H369" s="417"/>
      <c r="I369" s="417"/>
      <c r="J369" s="417"/>
      <c r="K369" s="417"/>
      <c r="L369" s="417"/>
      <c r="M369" s="417"/>
      <c r="N369" s="417"/>
      <c r="O369" s="417"/>
      <c r="P369" s="417"/>
      <c r="Q369" s="417"/>
      <c r="R369" s="417"/>
      <c r="S369" s="417"/>
      <c r="T369" s="417"/>
      <c r="U369" s="417"/>
      <c r="V369" s="417"/>
      <c r="W369" s="417"/>
      <c r="X369" s="417"/>
      <c r="Y369" s="417"/>
      <c r="Z369" s="417"/>
      <c r="AA369" s="417"/>
      <c r="AB369" s="417"/>
      <c r="AC369" s="417"/>
    </row>
    <row r="370" spans="2:29" x14ac:dyDescent="0.25">
      <c r="B370" s="417"/>
      <c r="C370" s="417"/>
      <c r="D370" s="417"/>
      <c r="E370" s="417"/>
      <c r="F370" s="417"/>
      <c r="G370" s="417"/>
      <c r="H370" s="417"/>
      <c r="I370" s="417"/>
      <c r="J370" s="417"/>
      <c r="K370" s="417"/>
      <c r="L370" s="417"/>
      <c r="M370" s="417"/>
      <c r="N370" s="417"/>
      <c r="O370" s="417"/>
      <c r="P370" s="417"/>
      <c r="Q370" s="417"/>
      <c r="R370" s="417"/>
      <c r="S370" s="417"/>
      <c r="T370" s="417"/>
      <c r="U370" s="417"/>
      <c r="V370" s="417"/>
      <c r="W370" s="417"/>
      <c r="X370" s="417"/>
      <c r="Y370" s="417"/>
      <c r="Z370" s="417"/>
      <c r="AA370" s="417"/>
      <c r="AB370" s="417"/>
      <c r="AC370" s="417"/>
    </row>
    <row r="371" spans="2:29" x14ac:dyDescent="0.25">
      <c r="B371" s="417"/>
      <c r="C371" s="417"/>
      <c r="D371" s="417"/>
      <c r="E371" s="417"/>
      <c r="F371" s="417"/>
      <c r="G371" s="417"/>
      <c r="H371" s="417"/>
      <c r="I371" s="417"/>
      <c r="J371" s="417"/>
      <c r="K371" s="417"/>
      <c r="L371" s="417"/>
      <c r="M371" s="417"/>
      <c r="N371" s="417"/>
      <c r="O371" s="417"/>
      <c r="P371" s="417"/>
      <c r="Q371" s="417"/>
      <c r="R371" s="417"/>
      <c r="S371" s="417"/>
      <c r="T371" s="417"/>
      <c r="U371" s="417"/>
      <c r="V371" s="417"/>
      <c r="W371" s="417"/>
      <c r="X371" s="417"/>
      <c r="Y371" s="417"/>
      <c r="Z371" s="417"/>
      <c r="AA371" s="417"/>
      <c r="AB371" s="417"/>
      <c r="AC371" s="417"/>
    </row>
    <row r="372" spans="2:29" x14ac:dyDescent="0.25">
      <c r="B372" s="417"/>
      <c r="C372" s="417"/>
      <c r="D372" s="417"/>
      <c r="E372" s="417"/>
      <c r="F372" s="417"/>
      <c r="G372" s="417"/>
      <c r="H372" s="417"/>
      <c r="I372" s="417"/>
      <c r="J372" s="417"/>
      <c r="K372" s="417"/>
      <c r="L372" s="417"/>
      <c r="M372" s="417"/>
      <c r="N372" s="417"/>
      <c r="O372" s="417"/>
      <c r="P372" s="417"/>
      <c r="Q372" s="417"/>
      <c r="R372" s="417"/>
      <c r="S372" s="417"/>
      <c r="T372" s="417"/>
      <c r="U372" s="417"/>
      <c r="V372" s="417"/>
      <c r="W372" s="417"/>
      <c r="X372" s="417"/>
      <c r="Y372" s="417"/>
      <c r="Z372" s="417"/>
      <c r="AA372" s="417"/>
      <c r="AB372" s="417"/>
      <c r="AC372" s="417"/>
    </row>
    <row r="373" spans="2:29" x14ac:dyDescent="0.25">
      <c r="B373" s="417"/>
      <c r="C373" s="417"/>
      <c r="D373" s="417"/>
      <c r="E373" s="417"/>
      <c r="F373" s="417"/>
      <c r="G373" s="417"/>
      <c r="H373" s="417"/>
      <c r="I373" s="417"/>
      <c r="J373" s="417"/>
      <c r="K373" s="417"/>
      <c r="L373" s="417"/>
      <c r="M373" s="417"/>
      <c r="N373" s="417"/>
      <c r="O373" s="417"/>
      <c r="P373" s="417"/>
      <c r="Q373" s="417"/>
      <c r="R373" s="417"/>
      <c r="S373" s="417"/>
      <c r="T373" s="417"/>
      <c r="U373" s="417"/>
      <c r="V373" s="417"/>
      <c r="W373" s="417"/>
      <c r="X373" s="417"/>
      <c r="Y373" s="417"/>
      <c r="Z373" s="417"/>
      <c r="AA373" s="417"/>
      <c r="AB373" s="417"/>
      <c r="AC373" s="417"/>
    </row>
    <row r="374" spans="2:29" x14ac:dyDescent="0.25">
      <c r="B374" s="417"/>
      <c r="C374" s="417"/>
      <c r="D374" s="417"/>
      <c r="E374" s="417"/>
      <c r="F374" s="417"/>
      <c r="G374" s="417"/>
      <c r="H374" s="417"/>
      <c r="I374" s="417"/>
      <c r="J374" s="417"/>
      <c r="K374" s="417"/>
      <c r="L374" s="417"/>
      <c r="M374" s="417"/>
      <c r="N374" s="417"/>
      <c r="O374" s="417"/>
      <c r="P374" s="417"/>
      <c r="Q374" s="417"/>
      <c r="R374" s="417"/>
      <c r="S374" s="417"/>
      <c r="T374" s="417"/>
      <c r="U374" s="417"/>
      <c r="V374" s="417"/>
      <c r="W374" s="417"/>
      <c r="X374" s="417"/>
      <c r="Y374" s="417"/>
      <c r="Z374" s="417"/>
      <c r="AA374" s="417"/>
      <c r="AB374" s="417"/>
      <c r="AC374" s="417"/>
    </row>
    <row r="375" spans="2:29" x14ac:dyDescent="0.25">
      <c r="B375" s="417"/>
      <c r="C375" s="417"/>
      <c r="D375" s="417"/>
      <c r="E375" s="417"/>
      <c r="F375" s="417"/>
      <c r="G375" s="417"/>
      <c r="H375" s="417"/>
      <c r="I375" s="417"/>
      <c r="J375" s="417"/>
      <c r="K375" s="417"/>
      <c r="L375" s="417"/>
      <c r="M375" s="417"/>
      <c r="N375" s="417"/>
      <c r="O375" s="417"/>
      <c r="P375" s="417"/>
      <c r="Q375" s="417"/>
      <c r="R375" s="417"/>
      <c r="S375" s="417"/>
      <c r="T375" s="417"/>
      <c r="U375" s="417"/>
      <c r="V375" s="417"/>
      <c r="W375" s="417"/>
      <c r="X375" s="417"/>
      <c r="Y375" s="417"/>
      <c r="Z375" s="417"/>
      <c r="AA375" s="417"/>
      <c r="AB375" s="417"/>
      <c r="AC375" s="417"/>
    </row>
    <row r="376" spans="2:29" x14ac:dyDescent="0.25">
      <c r="B376" s="417"/>
      <c r="C376" s="417"/>
      <c r="D376" s="417"/>
      <c r="E376" s="417"/>
      <c r="F376" s="417"/>
      <c r="G376" s="417"/>
      <c r="H376" s="417"/>
      <c r="I376" s="417"/>
      <c r="J376" s="417"/>
      <c r="K376" s="417"/>
      <c r="L376" s="417"/>
      <c r="M376" s="417"/>
      <c r="N376" s="417"/>
      <c r="O376" s="417"/>
      <c r="P376" s="417"/>
      <c r="Q376" s="417"/>
      <c r="R376" s="417"/>
      <c r="S376" s="417"/>
      <c r="T376" s="417"/>
      <c r="U376" s="417"/>
      <c r="V376" s="417"/>
      <c r="W376" s="417"/>
      <c r="X376" s="417"/>
      <c r="Y376" s="417"/>
      <c r="Z376" s="417"/>
      <c r="AA376" s="417"/>
      <c r="AB376" s="417"/>
      <c r="AC376" s="417"/>
    </row>
    <row r="377" spans="2:29" x14ac:dyDescent="0.25">
      <c r="B377" s="417"/>
      <c r="C377" s="417"/>
      <c r="D377" s="417"/>
      <c r="E377" s="417"/>
      <c r="F377" s="417"/>
      <c r="G377" s="417"/>
      <c r="H377" s="417"/>
      <c r="I377" s="417"/>
      <c r="J377" s="417"/>
      <c r="K377" s="417"/>
      <c r="L377" s="417"/>
      <c r="M377" s="417"/>
      <c r="N377" s="417"/>
      <c r="O377" s="417"/>
      <c r="P377" s="417"/>
      <c r="Q377" s="417"/>
      <c r="R377" s="417"/>
      <c r="S377" s="417"/>
      <c r="T377" s="417"/>
      <c r="U377" s="417"/>
      <c r="V377" s="417"/>
      <c r="W377" s="417"/>
      <c r="X377" s="417"/>
      <c r="Y377" s="417"/>
      <c r="Z377" s="417"/>
      <c r="AA377" s="417"/>
      <c r="AB377" s="417"/>
      <c r="AC377" s="417"/>
    </row>
    <row r="378" spans="2:29" x14ac:dyDescent="0.25">
      <c r="B378" s="417"/>
      <c r="C378" s="417"/>
      <c r="D378" s="417"/>
      <c r="E378" s="417"/>
      <c r="F378" s="417"/>
      <c r="G378" s="417"/>
      <c r="H378" s="417"/>
      <c r="I378" s="417"/>
      <c r="J378" s="417"/>
      <c r="K378" s="417"/>
      <c r="L378" s="417"/>
      <c r="M378" s="417"/>
      <c r="N378" s="417"/>
      <c r="O378" s="417"/>
      <c r="P378" s="417"/>
      <c r="Q378" s="417"/>
      <c r="R378" s="417"/>
      <c r="S378" s="417"/>
      <c r="T378" s="417"/>
      <c r="U378" s="417"/>
      <c r="V378" s="417"/>
      <c r="W378" s="417"/>
      <c r="X378" s="417"/>
      <c r="Y378" s="417"/>
      <c r="Z378" s="417"/>
      <c r="AA378" s="417"/>
      <c r="AB378" s="417"/>
      <c r="AC378" s="417"/>
    </row>
    <row r="379" spans="2:29" x14ac:dyDescent="0.25">
      <c r="B379" s="417"/>
      <c r="C379" s="417"/>
      <c r="D379" s="417"/>
      <c r="E379" s="417"/>
      <c r="F379" s="417"/>
      <c r="G379" s="417"/>
      <c r="H379" s="417"/>
      <c r="I379" s="417"/>
      <c r="J379" s="417"/>
      <c r="K379" s="417"/>
      <c r="L379" s="417"/>
      <c r="M379" s="417"/>
      <c r="N379" s="417"/>
      <c r="O379" s="417"/>
      <c r="P379" s="417"/>
      <c r="Q379" s="417"/>
      <c r="R379" s="417"/>
      <c r="S379" s="417"/>
      <c r="T379" s="417"/>
      <c r="U379" s="417"/>
      <c r="V379" s="417"/>
      <c r="W379" s="417"/>
      <c r="X379" s="417"/>
      <c r="Y379" s="417"/>
      <c r="Z379" s="417"/>
      <c r="AA379" s="417"/>
      <c r="AB379" s="417"/>
      <c r="AC379" s="417"/>
    </row>
    <row r="380" spans="2:29" x14ac:dyDescent="0.25">
      <c r="B380" s="417"/>
      <c r="C380" s="417"/>
      <c r="D380" s="417"/>
      <c r="E380" s="417"/>
      <c r="F380" s="417"/>
      <c r="G380" s="417"/>
      <c r="H380" s="417"/>
      <c r="I380" s="417"/>
      <c r="J380" s="417"/>
      <c r="K380" s="417"/>
      <c r="L380" s="417"/>
      <c r="M380" s="417"/>
      <c r="N380" s="417"/>
      <c r="O380" s="417"/>
      <c r="P380" s="417"/>
      <c r="Q380" s="417"/>
      <c r="R380" s="417"/>
      <c r="S380" s="417"/>
      <c r="T380" s="417"/>
      <c r="U380" s="417"/>
      <c r="V380" s="417"/>
      <c r="W380" s="417"/>
      <c r="X380" s="417"/>
      <c r="Y380" s="417"/>
      <c r="Z380" s="417"/>
      <c r="AA380" s="417"/>
      <c r="AB380" s="417"/>
      <c r="AC380" s="417"/>
    </row>
    <row r="381" spans="2:29" x14ac:dyDescent="0.25">
      <c r="B381" s="417"/>
      <c r="C381" s="417"/>
      <c r="D381" s="417"/>
      <c r="E381" s="417"/>
      <c r="F381" s="417"/>
      <c r="G381" s="417"/>
      <c r="H381" s="417"/>
      <c r="I381" s="417"/>
      <c r="J381" s="417"/>
      <c r="K381" s="417"/>
      <c r="L381" s="417"/>
      <c r="M381" s="417"/>
      <c r="N381" s="417"/>
      <c r="O381" s="417"/>
      <c r="P381" s="417"/>
      <c r="Q381" s="417"/>
      <c r="R381" s="417"/>
      <c r="S381" s="417"/>
      <c r="T381" s="417"/>
      <c r="U381" s="417"/>
      <c r="V381" s="417"/>
      <c r="W381" s="417"/>
      <c r="X381" s="417"/>
      <c r="Y381" s="417"/>
      <c r="Z381" s="417"/>
      <c r="AA381" s="417"/>
      <c r="AB381" s="417"/>
      <c r="AC381" s="417"/>
    </row>
    <row r="382" spans="2:29" x14ac:dyDescent="0.25">
      <c r="B382" s="417"/>
      <c r="C382" s="417"/>
      <c r="D382" s="417"/>
      <c r="E382" s="417"/>
      <c r="F382" s="417"/>
      <c r="G382" s="417"/>
      <c r="H382" s="417"/>
      <c r="I382" s="417"/>
      <c r="J382" s="417"/>
      <c r="K382" s="417"/>
      <c r="L382" s="417"/>
      <c r="M382" s="417"/>
      <c r="N382" s="417"/>
      <c r="O382" s="417"/>
      <c r="P382" s="417"/>
      <c r="Q382" s="417"/>
      <c r="R382" s="417"/>
      <c r="S382" s="417"/>
      <c r="T382" s="417"/>
      <c r="U382" s="417"/>
      <c r="V382" s="417"/>
      <c r="W382" s="417"/>
      <c r="X382" s="417"/>
      <c r="Y382" s="417"/>
      <c r="Z382" s="417"/>
      <c r="AA382" s="417"/>
      <c r="AB382" s="417"/>
      <c r="AC382" s="417"/>
    </row>
    <row r="383" spans="2:29" x14ac:dyDescent="0.25">
      <c r="B383" s="417"/>
      <c r="C383" s="417"/>
      <c r="D383" s="417"/>
      <c r="E383" s="417"/>
      <c r="F383" s="417"/>
      <c r="G383" s="417"/>
      <c r="H383" s="417"/>
      <c r="I383" s="417"/>
      <c r="J383" s="417"/>
      <c r="K383" s="417"/>
      <c r="L383" s="417"/>
      <c r="M383" s="417"/>
      <c r="N383" s="417"/>
      <c r="O383" s="417"/>
      <c r="P383" s="417"/>
      <c r="Q383" s="417"/>
      <c r="R383" s="417"/>
      <c r="S383" s="417"/>
      <c r="T383" s="417"/>
      <c r="U383" s="417"/>
      <c r="V383" s="417"/>
      <c r="W383" s="417"/>
      <c r="X383" s="417"/>
      <c r="Y383" s="417"/>
      <c r="Z383" s="417"/>
      <c r="AA383" s="417"/>
      <c r="AB383" s="417"/>
      <c r="AC383" s="417"/>
    </row>
    <row r="384" spans="2:29" x14ac:dyDescent="0.25">
      <c r="B384" s="417"/>
      <c r="C384" s="417"/>
      <c r="D384" s="417"/>
      <c r="E384" s="417"/>
      <c r="F384" s="417"/>
      <c r="G384" s="417"/>
      <c r="H384" s="417"/>
      <c r="I384" s="417"/>
      <c r="J384" s="417"/>
      <c r="K384" s="417"/>
      <c r="L384" s="417"/>
      <c r="M384" s="417"/>
      <c r="N384" s="417"/>
      <c r="O384" s="417"/>
      <c r="P384" s="417"/>
      <c r="Q384" s="417"/>
      <c r="R384" s="417"/>
      <c r="S384" s="417"/>
      <c r="T384" s="417"/>
      <c r="U384" s="417"/>
      <c r="V384" s="417"/>
      <c r="W384" s="417"/>
      <c r="X384" s="417"/>
      <c r="Y384" s="417"/>
      <c r="Z384" s="417"/>
      <c r="AA384" s="417"/>
      <c r="AB384" s="417"/>
      <c r="AC384" s="417"/>
    </row>
    <row r="385" spans="2:29" x14ac:dyDescent="0.25">
      <c r="B385" s="417"/>
      <c r="C385" s="417"/>
      <c r="D385" s="417"/>
      <c r="E385" s="417"/>
      <c r="F385" s="417"/>
      <c r="G385" s="417"/>
      <c r="H385" s="417"/>
      <c r="I385" s="417"/>
      <c r="J385" s="417"/>
      <c r="K385" s="417"/>
      <c r="L385" s="417"/>
      <c r="M385" s="417"/>
      <c r="N385" s="417"/>
      <c r="O385" s="417"/>
      <c r="P385" s="417"/>
      <c r="Q385" s="417"/>
      <c r="R385" s="417"/>
      <c r="S385" s="417"/>
      <c r="T385" s="417"/>
      <c r="U385" s="417"/>
      <c r="V385" s="417"/>
      <c r="W385" s="417"/>
      <c r="X385" s="417"/>
      <c r="Y385" s="417"/>
      <c r="Z385" s="417"/>
      <c r="AA385" s="417"/>
      <c r="AB385" s="417"/>
      <c r="AC385" s="417"/>
    </row>
    <row r="386" spans="2:29" x14ac:dyDescent="0.25">
      <c r="B386" s="417"/>
      <c r="C386" s="417"/>
      <c r="D386" s="417"/>
      <c r="E386" s="417"/>
      <c r="F386" s="417"/>
      <c r="G386" s="417"/>
      <c r="H386" s="417"/>
      <c r="I386" s="417"/>
      <c r="J386" s="417"/>
      <c r="K386" s="417"/>
      <c r="L386" s="417"/>
      <c r="M386" s="417"/>
      <c r="N386" s="417"/>
      <c r="O386" s="417"/>
      <c r="P386" s="417"/>
      <c r="Q386" s="417"/>
      <c r="R386" s="417"/>
      <c r="S386" s="417"/>
      <c r="T386" s="417"/>
      <c r="U386" s="417"/>
      <c r="V386" s="417"/>
      <c r="W386" s="417"/>
      <c r="X386" s="417"/>
      <c r="Y386" s="417"/>
      <c r="Z386" s="417"/>
      <c r="AA386" s="417"/>
      <c r="AB386" s="417"/>
      <c r="AC386" s="417"/>
    </row>
    <row r="387" spans="2:29" x14ac:dyDescent="0.25">
      <c r="B387" s="417"/>
      <c r="C387" s="417"/>
      <c r="D387" s="417"/>
      <c r="E387" s="417"/>
      <c r="F387" s="417"/>
      <c r="G387" s="417"/>
      <c r="H387" s="417"/>
      <c r="I387" s="417"/>
      <c r="J387" s="417"/>
      <c r="K387" s="417"/>
      <c r="L387" s="417"/>
      <c r="M387" s="417"/>
      <c r="N387" s="417"/>
      <c r="O387" s="417"/>
      <c r="P387" s="417"/>
      <c r="Q387" s="417"/>
      <c r="R387" s="417"/>
      <c r="S387" s="417"/>
      <c r="T387" s="417"/>
      <c r="U387" s="417"/>
      <c r="V387" s="417"/>
      <c r="W387" s="417"/>
      <c r="X387" s="417"/>
      <c r="Y387" s="417"/>
      <c r="Z387" s="417"/>
      <c r="AA387" s="417"/>
      <c r="AB387" s="417"/>
      <c r="AC387" s="417"/>
    </row>
    <row r="388" spans="2:29" x14ac:dyDescent="0.25"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s="417"/>
      <c r="M388" s="417"/>
      <c r="N388" s="417"/>
      <c r="O388" s="417"/>
      <c r="P388" s="417"/>
      <c r="Q388" s="417"/>
      <c r="R388" s="417"/>
      <c r="S388" s="417"/>
      <c r="T388" s="417"/>
      <c r="U388" s="417"/>
      <c r="V388" s="417"/>
      <c r="W388" s="417"/>
      <c r="X388" s="417"/>
      <c r="Y388" s="417"/>
      <c r="Z388" s="417"/>
      <c r="AA388" s="417"/>
      <c r="AB388" s="417"/>
      <c r="AC388" s="417"/>
    </row>
    <row r="389" spans="2:29" x14ac:dyDescent="0.25">
      <c r="B389" s="417"/>
      <c r="C389" s="417"/>
      <c r="D389" s="417"/>
      <c r="E389" s="417"/>
      <c r="F389" s="417"/>
      <c r="G389" s="417"/>
      <c r="H389" s="417"/>
      <c r="I389" s="417"/>
      <c r="J389" s="417"/>
      <c r="K389" s="417"/>
      <c r="L389" s="417"/>
      <c r="M389" s="417"/>
      <c r="N389" s="417"/>
      <c r="O389" s="417"/>
      <c r="P389" s="417"/>
      <c r="Q389" s="417"/>
      <c r="R389" s="417"/>
      <c r="S389" s="417"/>
      <c r="T389" s="417"/>
      <c r="U389" s="417"/>
      <c r="V389" s="417"/>
      <c r="W389" s="417"/>
      <c r="X389" s="417"/>
      <c r="Y389" s="417"/>
      <c r="Z389" s="417"/>
      <c r="AA389" s="417"/>
      <c r="AB389" s="417"/>
      <c r="AC389" s="417"/>
    </row>
    <row r="390" spans="2:29" x14ac:dyDescent="0.25">
      <c r="B390" s="417"/>
      <c r="C390" s="417"/>
      <c r="D390" s="417"/>
      <c r="E390" s="417"/>
      <c r="F390" s="417"/>
      <c r="G390" s="417"/>
      <c r="H390" s="417"/>
      <c r="I390" s="417"/>
      <c r="J390" s="417"/>
      <c r="K390" s="417"/>
      <c r="L390" s="417"/>
      <c r="M390" s="417"/>
      <c r="N390" s="417"/>
      <c r="O390" s="417"/>
      <c r="P390" s="417"/>
      <c r="Q390" s="417"/>
      <c r="R390" s="417"/>
      <c r="S390" s="417"/>
      <c r="T390" s="417"/>
      <c r="U390" s="417"/>
      <c r="V390" s="417"/>
      <c r="W390" s="417"/>
      <c r="X390" s="417"/>
      <c r="Y390" s="417"/>
      <c r="Z390" s="417"/>
      <c r="AA390" s="417"/>
      <c r="AB390" s="417"/>
      <c r="AC390" s="417"/>
    </row>
    <row r="391" spans="2:29" x14ac:dyDescent="0.25">
      <c r="B391" s="417"/>
      <c r="C391" s="417"/>
      <c r="D391" s="417"/>
      <c r="E391" s="417"/>
      <c r="F391" s="417"/>
      <c r="G391" s="417"/>
      <c r="H391" s="417"/>
      <c r="I391" s="417"/>
      <c r="J391" s="417"/>
      <c r="K391" s="417"/>
      <c r="L391" s="417"/>
      <c r="M391" s="417"/>
      <c r="N391" s="417"/>
      <c r="O391" s="417"/>
      <c r="P391" s="417"/>
      <c r="Q391" s="417"/>
      <c r="R391" s="417"/>
      <c r="S391" s="417"/>
      <c r="T391" s="417"/>
      <c r="U391" s="417"/>
      <c r="V391" s="417"/>
      <c r="W391" s="417"/>
      <c r="X391" s="417"/>
      <c r="Y391" s="417"/>
      <c r="Z391" s="417"/>
      <c r="AA391" s="417"/>
      <c r="AB391" s="417"/>
      <c r="AC391" s="417"/>
    </row>
    <row r="392" spans="2:29" x14ac:dyDescent="0.25">
      <c r="B392" s="417"/>
      <c r="C392" s="417"/>
      <c r="D392" s="417"/>
      <c r="E392" s="417"/>
      <c r="F392" s="417"/>
      <c r="G392" s="417"/>
      <c r="H392" s="417"/>
      <c r="I392" s="417"/>
      <c r="J392" s="417"/>
      <c r="K392" s="417"/>
      <c r="L392" s="417"/>
      <c r="M392" s="417"/>
      <c r="N392" s="417"/>
      <c r="O392" s="417"/>
      <c r="P392" s="417"/>
      <c r="Q392" s="417"/>
      <c r="R392" s="417"/>
      <c r="S392" s="417"/>
      <c r="T392" s="417"/>
      <c r="U392" s="417"/>
      <c r="V392" s="417"/>
      <c r="W392" s="417"/>
      <c r="X392" s="417"/>
      <c r="Y392" s="417"/>
      <c r="Z392" s="417"/>
      <c r="AA392" s="417"/>
      <c r="AB392" s="417"/>
      <c r="AC392" s="417"/>
    </row>
    <row r="393" spans="2:29" x14ac:dyDescent="0.25">
      <c r="B393" s="417"/>
      <c r="C393" s="417"/>
      <c r="D393" s="417"/>
      <c r="E393" s="417"/>
      <c r="F393" s="417"/>
      <c r="G393" s="417"/>
      <c r="H393" s="417"/>
      <c r="I393" s="417"/>
      <c r="J393" s="417"/>
      <c r="K393" s="417"/>
      <c r="L393" s="417"/>
      <c r="M393" s="417"/>
      <c r="N393" s="417"/>
      <c r="O393" s="417"/>
      <c r="P393" s="417"/>
      <c r="Q393" s="417"/>
      <c r="R393" s="417"/>
      <c r="S393" s="417"/>
      <c r="T393" s="417"/>
      <c r="U393" s="417"/>
      <c r="V393" s="417"/>
      <c r="W393" s="417"/>
      <c r="X393" s="417"/>
      <c r="Y393" s="417"/>
      <c r="Z393" s="417"/>
      <c r="AA393" s="417"/>
      <c r="AB393" s="417"/>
      <c r="AC393" s="417"/>
    </row>
    <row r="394" spans="2:29" x14ac:dyDescent="0.25">
      <c r="B394" s="417"/>
      <c r="C394" s="417"/>
      <c r="D394" s="417"/>
      <c r="E394" s="417"/>
      <c r="F394" s="417"/>
      <c r="G394" s="417"/>
      <c r="H394" s="417"/>
      <c r="I394" s="417"/>
      <c r="J394" s="417"/>
      <c r="K394" s="417"/>
      <c r="L394" s="417"/>
      <c r="M394" s="417"/>
      <c r="N394" s="417"/>
      <c r="O394" s="417"/>
      <c r="P394" s="417"/>
      <c r="Q394" s="417"/>
      <c r="R394" s="417"/>
      <c r="S394" s="417"/>
      <c r="T394" s="417"/>
      <c r="U394" s="417"/>
      <c r="V394" s="417"/>
      <c r="W394" s="417"/>
      <c r="X394" s="417"/>
      <c r="Y394" s="417"/>
      <c r="Z394" s="417"/>
      <c r="AA394" s="417"/>
      <c r="AB394" s="417"/>
      <c r="AC394" s="417"/>
    </row>
    <row r="395" spans="2:29" x14ac:dyDescent="0.25">
      <c r="B395" s="417"/>
      <c r="C395" s="417"/>
      <c r="D395" s="417"/>
      <c r="E395" s="417"/>
      <c r="F395" s="417"/>
      <c r="G395" s="417"/>
      <c r="H395" s="417"/>
      <c r="I395" s="417"/>
      <c r="J395" s="417"/>
      <c r="K395" s="417"/>
      <c r="L395" s="417"/>
      <c r="M395" s="417"/>
      <c r="N395" s="417"/>
      <c r="O395" s="417"/>
      <c r="P395" s="417"/>
      <c r="Q395" s="417"/>
      <c r="R395" s="417"/>
      <c r="S395" s="417"/>
      <c r="T395" s="417"/>
      <c r="U395" s="417"/>
      <c r="V395" s="417"/>
      <c r="W395" s="417"/>
      <c r="X395" s="417"/>
      <c r="Y395" s="417"/>
      <c r="Z395" s="417"/>
      <c r="AA395" s="417"/>
      <c r="AB395" s="417"/>
      <c r="AC395" s="417"/>
    </row>
    <row r="396" spans="2:29" x14ac:dyDescent="0.25">
      <c r="B396" s="417"/>
      <c r="C396" s="417"/>
      <c r="D396" s="417"/>
      <c r="E396" s="417"/>
      <c r="F396" s="417"/>
      <c r="G396" s="417"/>
      <c r="H396" s="417"/>
      <c r="I396" s="417"/>
      <c r="J396" s="417"/>
      <c r="K396" s="417"/>
      <c r="L396" s="417"/>
      <c r="M396" s="417"/>
      <c r="N396" s="417"/>
      <c r="O396" s="417"/>
      <c r="P396" s="417"/>
      <c r="Q396" s="417"/>
      <c r="R396" s="417"/>
      <c r="S396" s="417"/>
      <c r="T396" s="417"/>
      <c r="U396" s="417"/>
      <c r="V396" s="417"/>
      <c r="W396" s="417"/>
      <c r="X396" s="417"/>
      <c r="Y396" s="417"/>
      <c r="Z396" s="417"/>
      <c r="AA396" s="417"/>
      <c r="AB396" s="417"/>
      <c r="AC396" s="417"/>
    </row>
    <row r="397" spans="2:29" x14ac:dyDescent="0.25">
      <c r="B397" s="417"/>
      <c r="C397" s="417"/>
      <c r="D397" s="417"/>
      <c r="E397" s="417"/>
      <c r="F397" s="417"/>
      <c r="G397" s="417"/>
      <c r="H397" s="417"/>
      <c r="I397" s="417"/>
      <c r="J397" s="417"/>
      <c r="K397" s="417"/>
      <c r="L397" s="417"/>
      <c r="M397" s="417"/>
      <c r="N397" s="417"/>
      <c r="O397" s="417"/>
      <c r="P397" s="417"/>
      <c r="Q397" s="417"/>
      <c r="R397" s="417"/>
      <c r="S397" s="417"/>
      <c r="T397" s="417"/>
      <c r="U397" s="417"/>
      <c r="V397" s="417"/>
      <c r="W397" s="417"/>
      <c r="X397" s="417"/>
      <c r="Y397" s="417"/>
      <c r="Z397" s="417"/>
      <c r="AA397" s="417"/>
      <c r="AB397" s="417"/>
      <c r="AC397" s="417"/>
    </row>
    <row r="398" spans="2:29" x14ac:dyDescent="0.25">
      <c r="B398" s="417"/>
      <c r="C398" s="417"/>
      <c r="D398" s="417"/>
      <c r="E398" s="417"/>
      <c r="F398" s="417"/>
      <c r="G398" s="417"/>
      <c r="H398" s="417"/>
      <c r="I398" s="417"/>
      <c r="J398" s="417"/>
      <c r="K398" s="417"/>
      <c r="L398" s="417"/>
      <c r="M398" s="417"/>
      <c r="N398" s="417"/>
      <c r="O398" s="417"/>
      <c r="P398" s="417"/>
      <c r="Q398" s="417"/>
      <c r="R398" s="417"/>
      <c r="S398" s="417"/>
      <c r="T398" s="417"/>
      <c r="U398" s="417"/>
      <c r="V398" s="417"/>
      <c r="W398" s="417"/>
      <c r="X398" s="417"/>
      <c r="Y398" s="417"/>
      <c r="Z398" s="417"/>
      <c r="AA398" s="417"/>
      <c r="AB398" s="417"/>
      <c r="AC398" s="417"/>
    </row>
    <row r="399" spans="2:29" x14ac:dyDescent="0.25">
      <c r="B399" s="417"/>
      <c r="C399" s="417"/>
      <c r="D399" s="417"/>
      <c r="E399" s="417"/>
      <c r="F399" s="417"/>
      <c r="G399" s="417"/>
      <c r="H399" s="417"/>
      <c r="I399" s="417"/>
      <c r="J399" s="417"/>
      <c r="K399" s="417"/>
      <c r="L399" s="417"/>
      <c r="M399" s="417"/>
      <c r="N399" s="417"/>
      <c r="O399" s="417"/>
      <c r="P399" s="417"/>
      <c r="Q399" s="417"/>
      <c r="R399" s="417"/>
      <c r="S399" s="417"/>
      <c r="T399" s="417"/>
      <c r="U399" s="417"/>
      <c r="V399" s="417"/>
      <c r="W399" s="417"/>
      <c r="X399" s="417"/>
      <c r="Y399" s="417"/>
      <c r="Z399" s="417"/>
      <c r="AA399" s="417"/>
      <c r="AB399" s="417"/>
      <c r="AC399" s="417"/>
    </row>
    <row r="400" spans="2:29" x14ac:dyDescent="0.25">
      <c r="B400" s="417"/>
      <c r="C400" s="417"/>
      <c r="D400" s="417"/>
      <c r="E400" s="417"/>
      <c r="F400" s="417"/>
      <c r="G400" s="417"/>
      <c r="H400" s="417"/>
      <c r="I400" s="417"/>
      <c r="J400" s="417"/>
      <c r="K400" s="417"/>
      <c r="L400" s="417"/>
      <c r="M400" s="417"/>
      <c r="N400" s="417"/>
      <c r="O400" s="417"/>
      <c r="P400" s="417"/>
      <c r="Q400" s="417"/>
      <c r="R400" s="417"/>
      <c r="S400" s="417"/>
      <c r="T400" s="417"/>
      <c r="U400" s="417"/>
      <c r="V400" s="417"/>
      <c r="W400" s="417"/>
      <c r="X400" s="417"/>
      <c r="Y400" s="417"/>
      <c r="Z400" s="417"/>
      <c r="AA400" s="417"/>
      <c r="AB400" s="417"/>
      <c r="AC400" s="417"/>
    </row>
    <row r="401" spans="2:29" x14ac:dyDescent="0.25">
      <c r="B401" s="417"/>
      <c r="C401" s="417"/>
      <c r="D401" s="417"/>
      <c r="E401" s="417"/>
      <c r="F401" s="417"/>
      <c r="G401" s="417"/>
      <c r="H401" s="417"/>
      <c r="I401" s="417"/>
      <c r="J401" s="417"/>
      <c r="K401" s="417"/>
      <c r="L401" s="417"/>
      <c r="M401" s="417"/>
      <c r="N401" s="417"/>
      <c r="O401" s="417"/>
      <c r="P401" s="417"/>
      <c r="Q401" s="417"/>
      <c r="R401" s="417"/>
      <c r="S401" s="417"/>
      <c r="T401" s="417"/>
      <c r="U401" s="417"/>
      <c r="V401" s="417"/>
      <c r="W401" s="417"/>
      <c r="X401" s="417"/>
      <c r="Y401" s="417"/>
      <c r="Z401" s="417"/>
      <c r="AA401" s="417"/>
      <c r="AB401" s="417"/>
      <c r="AC401" s="417"/>
    </row>
    <row r="402" spans="2:29" x14ac:dyDescent="0.25">
      <c r="B402" s="417"/>
      <c r="C402" s="417"/>
      <c r="D402" s="417"/>
      <c r="E402" s="417"/>
      <c r="F402" s="417"/>
      <c r="G402" s="417"/>
      <c r="H402" s="417"/>
      <c r="I402" s="417"/>
      <c r="J402" s="417"/>
      <c r="K402" s="417"/>
      <c r="L402" s="417"/>
      <c r="M402" s="417"/>
      <c r="N402" s="417"/>
      <c r="O402" s="417"/>
      <c r="P402" s="417"/>
      <c r="Q402" s="417"/>
      <c r="R402" s="417"/>
      <c r="S402" s="417"/>
      <c r="T402" s="417"/>
      <c r="U402" s="417"/>
      <c r="V402" s="417"/>
      <c r="W402" s="417"/>
      <c r="X402" s="417"/>
      <c r="Y402" s="417"/>
      <c r="Z402" s="417"/>
      <c r="AA402" s="417"/>
      <c r="AB402" s="417"/>
      <c r="AC402" s="417"/>
    </row>
    <row r="403" spans="2:29" x14ac:dyDescent="0.25">
      <c r="B403" s="417"/>
      <c r="C403" s="417"/>
      <c r="D403" s="417"/>
      <c r="E403" s="417"/>
      <c r="F403" s="417"/>
      <c r="G403" s="417"/>
      <c r="H403" s="417"/>
      <c r="I403" s="417"/>
      <c r="J403" s="417"/>
      <c r="K403" s="417"/>
      <c r="L403" s="417"/>
      <c r="M403" s="417"/>
      <c r="N403" s="417"/>
      <c r="O403" s="417"/>
      <c r="P403" s="417"/>
      <c r="Q403" s="417"/>
      <c r="R403" s="417"/>
      <c r="S403" s="417"/>
      <c r="T403" s="417"/>
      <c r="U403" s="417"/>
      <c r="V403" s="417"/>
      <c r="W403" s="417"/>
      <c r="X403" s="417"/>
      <c r="Y403" s="417"/>
      <c r="Z403" s="417"/>
      <c r="AA403" s="417"/>
      <c r="AB403" s="417"/>
      <c r="AC403" s="417"/>
    </row>
    <row r="404" spans="2:29" x14ac:dyDescent="0.25">
      <c r="B404" s="417"/>
      <c r="C404" s="417"/>
      <c r="D404" s="417"/>
      <c r="E404" s="417"/>
      <c r="F404" s="417"/>
      <c r="G404" s="417"/>
      <c r="H404" s="417"/>
      <c r="I404" s="417"/>
      <c r="J404" s="417"/>
      <c r="K404" s="417"/>
      <c r="L404" s="417"/>
      <c r="M404" s="417"/>
      <c r="N404" s="417"/>
      <c r="O404" s="417"/>
      <c r="P404" s="417"/>
      <c r="Q404" s="417"/>
      <c r="R404" s="417"/>
      <c r="S404" s="417"/>
      <c r="T404" s="417"/>
      <c r="U404" s="417"/>
      <c r="V404" s="417"/>
      <c r="W404" s="417"/>
      <c r="X404" s="417"/>
      <c r="Y404" s="417"/>
      <c r="Z404" s="417"/>
      <c r="AA404" s="417"/>
      <c r="AB404" s="417"/>
      <c r="AC404" s="417"/>
    </row>
    <row r="405" spans="2:29" x14ac:dyDescent="0.25">
      <c r="B405" s="417"/>
      <c r="C405" s="417"/>
      <c r="D405" s="417"/>
      <c r="E405" s="417"/>
      <c r="F405" s="417"/>
      <c r="G405" s="417"/>
      <c r="H405" s="417"/>
      <c r="I405" s="417"/>
      <c r="J405" s="417"/>
      <c r="K405" s="417"/>
      <c r="L405" s="417"/>
      <c r="M405" s="417"/>
      <c r="N405" s="417"/>
      <c r="O405" s="417"/>
      <c r="P405" s="417"/>
      <c r="Q405" s="417"/>
      <c r="R405" s="417"/>
      <c r="S405" s="417"/>
      <c r="T405" s="417"/>
      <c r="U405" s="417"/>
      <c r="V405" s="417"/>
      <c r="W405" s="417"/>
      <c r="X405" s="417"/>
      <c r="Y405" s="417"/>
      <c r="Z405" s="417"/>
      <c r="AA405" s="417"/>
      <c r="AB405" s="417"/>
      <c r="AC405" s="417"/>
    </row>
    <row r="406" spans="2:29" x14ac:dyDescent="0.25">
      <c r="B406" s="417"/>
      <c r="C406" s="417"/>
      <c r="D406" s="417"/>
      <c r="E406" s="417"/>
      <c r="F406" s="417"/>
      <c r="G406" s="417"/>
      <c r="H406" s="417"/>
      <c r="I406" s="417"/>
      <c r="J406" s="417"/>
      <c r="K406" s="417"/>
      <c r="L406" s="417"/>
      <c r="M406" s="417"/>
      <c r="N406" s="417"/>
      <c r="O406" s="417"/>
      <c r="P406" s="417"/>
      <c r="Q406" s="417"/>
      <c r="R406" s="417"/>
      <c r="S406" s="417"/>
      <c r="T406" s="417"/>
      <c r="U406" s="417"/>
      <c r="V406" s="417"/>
      <c r="W406" s="417"/>
      <c r="X406" s="417"/>
      <c r="Y406" s="417"/>
      <c r="Z406" s="417"/>
      <c r="AA406" s="417"/>
      <c r="AB406" s="417"/>
      <c r="AC406" s="417"/>
    </row>
    <row r="407" spans="2:29" x14ac:dyDescent="0.25">
      <c r="B407" s="417"/>
      <c r="C407" s="417"/>
      <c r="D407" s="417"/>
      <c r="E407" s="417"/>
      <c r="F407" s="417"/>
      <c r="G407" s="417"/>
      <c r="H407" s="417"/>
      <c r="I407" s="417"/>
      <c r="J407" s="417"/>
      <c r="K407" s="417"/>
      <c r="L407" s="417"/>
      <c r="M407" s="417"/>
      <c r="N407" s="417"/>
      <c r="O407" s="417"/>
      <c r="P407" s="417"/>
      <c r="Q407" s="417"/>
      <c r="R407" s="417"/>
      <c r="S407" s="417"/>
      <c r="T407" s="417"/>
      <c r="U407" s="417"/>
      <c r="V407" s="417"/>
      <c r="W407" s="417"/>
      <c r="X407" s="417"/>
      <c r="Y407" s="417"/>
      <c r="Z407" s="417"/>
      <c r="AA407" s="417"/>
      <c r="AB407" s="417"/>
      <c r="AC407" s="417"/>
    </row>
    <row r="408" spans="2:29" x14ac:dyDescent="0.25">
      <c r="B408" s="417"/>
      <c r="C408" s="417"/>
      <c r="D408" s="417"/>
      <c r="E408" s="417"/>
      <c r="F408" s="417"/>
      <c r="G408" s="417"/>
      <c r="H408" s="417"/>
      <c r="I408" s="417"/>
      <c r="J408" s="417"/>
      <c r="K408" s="417"/>
      <c r="L408" s="417"/>
      <c r="M408" s="417"/>
      <c r="N408" s="417"/>
      <c r="O408" s="417"/>
      <c r="P408" s="417"/>
      <c r="Q408" s="417"/>
      <c r="R408" s="417"/>
      <c r="S408" s="417"/>
      <c r="T408" s="417"/>
      <c r="U408" s="417"/>
      <c r="V408" s="417"/>
      <c r="W408" s="417"/>
      <c r="X408" s="417"/>
      <c r="Y408" s="417"/>
      <c r="Z408" s="417"/>
      <c r="AA408" s="417"/>
      <c r="AB408" s="417"/>
      <c r="AC408" s="417"/>
    </row>
    <row r="409" spans="2:29" x14ac:dyDescent="0.25">
      <c r="B409" s="417"/>
      <c r="C409" s="417"/>
      <c r="D409" s="417"/>
      <c r="E409" s="417"/>
      <c r="F409" s="417"/>
      <c r="G409" s="417"/>
      <c r="H409" s="417"/>
      <c r="I409" s="417"/>
      <c r="J409" s="417"/>
      <c r="K409" s="417"/>
      <c r="L409" s="417"/>
      <c r="M409" s="417"/>
      <c r="N409" s="417"/>
      <c r="O409" s="417"/>
      <c r="P409" s="417"/>
      <c r="Q409" s="417"/>
      <c r="R409" s="417"/>
      <c r="S409" s="417"/>
      <c r="T409" s="417"/>
      <c r="U409" s="417"/>
      <c r="V409" s="417"/>
      <c r="W409" s="417"/>
      <c r="X409" s="417"/>
      <c r="Y409" s="417"/>
      <c r="Z409" s="417"/>
      <c r="AA409" s="417"/>
      <c r="AB409" s="417"/>
      <c r="AC409" s="417"/>
    </row>
    <row r="410" spans="2:29" x14ac:dyDescent="0.25">
      <c r="B410" s="417"/>
      <c r="C410" s="417"/>
      <c r="D410" s="417"/>
      <c r="E410" s="417"/>
      <c r="F410" s="417"/>
      <c r="G410" s="417"/>
      <c r="H410" s="417"/>
      <c r="I410" s="417"/>
      <c r="J410" s="417"/>
      <c r="K410" s="417"/>
      <c r="L410" s="417"/>
      <c r="M410" s="417"/>
      <c r="N410" s="417"/>
      <c r="O410" s="417"/>
      <c r="P410" s="417"/>
      <c r="Q410" s="417"/>
      <c r="R410" s="417"/>
      <c r="S410" s="417"/>
      <c r="T410" s="417"/>
      <c r="U410" s="417"/>
      <c r="V410" s="417"/>
      <c r="W410" s="417"/>
      <c r="X410" s="417"/>
      <c r="Y410" s="417"/>
      <c r="Z410" s="417"/>
      <c r="AA410" s="417"/>
      <c r="AB410" s="417"/>
      <c r="AC410" s="417"/>
    </row>
    <row r="411" spans="2:29" x14ac:dyDescent="0.25">
      <c r="B411" s="417"/>
      <c r="C411" s="417"/>
      <c r="D411" s="417"/>
      <c r="E411" s="417"/>
      <c r="F411" s="417"/>
      <c r="G411" s="417"/>
      <c r="H411" s="417"/>
      <c r="I411" s="417"/>
      <c r="J411" s="417"/>
      <c r="K411" s="417"/>
      <c r="L411" s="417"/>
      <c r="M411" s="417"/>
      <c r="N411" s="417"/>
      <c r="O411" s="417"/>
      <c r="P411" s="417"/>
      <c r="Q411" s="417"/>
      <c r="R411" s="417"/>
      <c r="S411" s="417"/>
      <c r="T411" s="417"/>
      <c r="U411" s="417"/>
      <c r="V411" s="417"/>
      <c r="W411" s="417"/>
      <c r="X411" s="417"/>
      <c r="Y411" s="417"/>
      <c r="Z411" s="417"/>
      <c r="AA411" s="417"/>
      <c r="AB411" s="417"/>
      <c r="AC411" s="417"/>
    </row>
    <row r="412" spans="2:29" x14ac:dyDescent="0.25">
      <c r="B412" s="417"/>
      <c r="C412" s="417"/>
      <c r="D412" s="417"/>
      <c r="E412" s="417"/>
      <c r="F412" s="417"/>
      <c r="G412" s="417"/>
      <c r="H412" s="417"/>
      <c r="I412" s="417"/>
      <c r="J412" s="417"/>
      <c r="K412" s="417"/>
      <c r="L412" s="417"/>
      <c r="M412" s="417"/>
      <c r="N412" s="417"/>
      <c r="O412" s="417"/>
      <c r="P412" s="417"/>
      <c r="Q412" s="417"/>
      <c r="R412" s="417"/>
      <c r="S412" s="417"/>
      <c r="T412" s="417"/>
      <c r="U412" s="417"/>
      <c r="V412" s="417"/>
      <c r="W412" s="417"/>
      <c r="X412" s="417"/>
      <c r="Y412" s="417"/>
      <c r="Z412" s="417"/>
      <c r="AA412" s="417"/>
      <c r="AB412" s="417"/>
      <c r="AC412" s="417"/>
    </row>
    <row r="413" spans="2:29" x14ac:dyDescent="0.25">
      <c r="B413" s="417"/>
      <c r="C413" s="417"/>
      <c r="D413" s="417"/>
      <c r="E413" s="417"/>
      <c r="F413" s="417"/>
      <c r="G413" s="417"/>
      <c r="H413" s="417"/>
      <c r="I413" s="417"/>
      <c r="J413" s="417"/>
      <c r="K413" s="417"/>
      <c r="L413" s="417"/>
      <c r="M413" s="417"/>
      <c r="N413" s="417"/>
      <c r="O413" s="417"/>
      <c r="P413" s="417"/>
      <c r="Q413" s="417"/>
      <c r="R413" s="417"/>
      <c r="S413" s="417"/>
      <c r="T413" s="417"/>
      <c r="U413" s="417"/>
      <c r="V413" s="417"/>
      <c r="W413" s="417"/>
      <c r="X413" s="417"/>
      <c r="Y413" s="417"/>
      <c r="Z413" s="417"/>
      <c r="AA413" s="417"/>
      <c r="AB413" s="417"/>
      <c r="AC413" s="417"/>
    </row>
    <row r="414" spans="2:29" x14ac:dyDescent="0.25">
      <c r="B414" s="417"/>
      <c r="C414" s="417"/>
      <c r="D414" s="417"/>
      <c r="E414" s="417"/>
      <c r="F414" s="417"/>
      <c r="G414" s="417"/>
      <c r="H414" s="417"/>
      <c r="I414" s="417"/>
      <c r="J414" s="417"/>
      <c r="K414" s="417"/>
      <c r="L414" s="417"/>
      <c r="M414" s="417"/>
      <c r="N414" s="417"/>
      <c r="O414" s="417"/>
      <c r="P414" s="417"/>
      <c r="Q414" s="417"/>
      <c r="R414" s="417"/>
      <c r="S414" s="417"/>
      <c r="T414" s="417"/>
      <c r="U414" s="417"/>
      <c r="V414" s="417"/>
      <c r="W414" s="417"/>
      <c r="X414" s="417"/>
      <c r="Y414" s="417"/>
      <c r="Z414" s="417"/>
      <c r="AA414" s="417"/>
      <c r="AB414" s="417"/>
      <c r="AC414" s="417"/>
    </row>
    <row r="415" spans="2:29" x14ac:dyDescent="0.25">
      <c r="B415" s="417"/>
      <c r="C415" s="417"/>
      <c r="D415" s="417"/>
      <c r="E415" s="417"/>
      <c r="F415" s="417"/>
      <c r="G415" s="417"/>
      <c r="H415" s="417"/>
      <c r="I415" s="417"/>
      <c r="J415" s="417"/>
      <c r="K415" s="417"/>
      <c r="L415" s="417"/>
      <c r="M415" s="417"/>
      <c r="N415" s="417"/>
      <c r="O415" s="417"/>
      <c r="P415" s="417"/>
      <c r="Q415" s="417"/>
      <c r="R415" s="417"/>
      <c r="S415" s="417"/>
      <c r="T415" s="417"/>
      <c r="U415" s="417"/>
      <c r="V415" s="417"/>
      <c r="W415" s="417"/>
      <c r="X415" s="417"/>
      <c r="Y415" s="417"/>
      <c r="Z415" s="417"/>
      <c r="AA415" s="417"/>
      <c r="AB415" s="417"/>
      <c r="AC415" s="417"/>
    </row>
    <row r="416" spans="2:29" x14ac:dyDescent="0.25">
      <c r="B416" s="417"/>
      <c r="C416" s="417"/>
      <c r="D416" s="417"/>
      <c r="E416" s="417"/>
      <c r="F416" s="417"/>
      <c r="G416" s="417"/>
      <c r="H416" s="417"/>
      <c r="I416" s="417"/>
      <c r="J416" s="417"/>
      <c r="K416" s="417"/>
      <c r="L416" s="417"/>
      <c r="M416" s="417"/>
      <c r="N416" s="417"/>
      <c r="O416" s="417"/>
      <c r="P416" s="417"/>
      <c r="Q416" s="417"/>
      <c r="R416" s="417"/>
      <c r="S416" s="417"/>
      <c r="T416" s="417"/>
      <c r="U416" s="417"/>
      <c r="V416" s="417"/>
      <c r="W416" s="417"/>
      <c r="X416" s="417"/>
      <c r="Y416" s="417"/>
      <c r="Z416" s="417"/>
      <c r="AA416" s="417"/>
      <c r="AB416" s="417"/>
      <c r="AC416" s="417"/>
    </row>
    <row r="417" spans="2:29" x14ac:dyDescent="0.25">
      <c r="B417" s="417"/>
      <c r="C417" s="417"/>
      <c r="D417" s="417"/>
      <c r="E417" s="417"/>
      <c r="F417" s="417"/>
      <c r="G417" s="417"/>
      <c r="H417" s="417"/>
      <c r="I417" s="417"/>
      <c r="J417" s="417"/>
      <c r="K417" s="417"/>
      <c r="L417" s="417"/>
      <c r="M417" s="417"/>
      <c r="N417" s="417"/>
      <c r="O417" s="417"/>
      <c r="P417" s="417"/>
      <c r="Q417" s="417"/>
      <c r="R417" s="417"/>
      <c r="S417" s="417"/>
      <c r="T417" s="417"/>
      <c r="U417" s="417"/>
      <c r="V417" s="417"/>
      <c r="W417" s="417"/>
      <c r="X417" s="417"/>
      <c r="Y417" s="417"/>
      <c r="Z417" s="417"/>
      <c r="AA417" s="417"/>
      <c r="AB417" s="417"/>
      <c r="AC417" s="417"/>
    </row>
    <row r="418" spans="2:29" x14ac:dyDescent="0.25">
      <c r="B418" s="417"/>
      <c r="C418" s="417"/>
      <c r="D418" s="417"/>
      <c r="E418" s="417"/>
      <c r="F418" s="417"/>
      <c r="G418" s="417"/>
      <c r="H418" s="417"/>
      <c r="I418" s="417"/>
      <c r="J418" s="417"/>
      <c r="K418" s="417"/>
      <c r="L418" s="417"/>
      <c r="M418" s="417"/>
      <c r="N418" s="417"/>
      <c r="O418" s="417"/>
      <c r="P418" s="417"/>
      <c r="Q418" s="417"/>
      <c r="R418" s="417"/>
      <c r="S418" s="417"/>
      <c r="T418" s="417"/>
      <c r="U418" s="417"/>
      <c r="V418" s="417"/>
      <c r="W418" s="417"/>
      <c r="X418" s="417"/>
      <c r="Y418" s="417"/>
      <c r="Z418" s="417"/>
      <c r="AA418" s="417"/>
      <c r="AB418" s="417"/>
      <c r="AC418" s="417"/>
    </row>
    <row r="419" spans="2:29" x14ac:dyDescent="0.25">
      <c r="B419" s="417"/>
      <c r="C419" s="417"/>
      <c r="D419" s="417"/>
      <c r="E419" s="417"/>
      <c r="F419" s="417"/>
      <c r="G419" s="417"/>
      <c r="H419" s="417"/>
      <c r="I419" s="417"/>
      <c r="J419" s="417"/>
      <c r="K419" s="417"/>
      <c r="L419" s="417"/>
      <c r="M419" s="417"/>
      <c r="N419" s="417"/>
      <c r="O419" s="417"/>
      <c r="P419" s="417"/>
      <c r="Q419" s="417"/>
      <c r="R419" s="417"/>
      <c r="S419" s="417"/>
      <c r="T419" s="417"/>
      <c r="U419" s="417"/>
      <c r="V419" s="417"/>
      <c r="W419" s="417"/>
      <c r="X419" s="417"/>
      <c r="Y419" s="417"/>
      <c r="Z419" s="417"/>
      <c r="AA419" s="417"/>
      <c r="AB419" s="417"/>
      <c r="AC419" s="417"/>
    </row>
    <row r="420" spans="2:29" x14ac:dyDescent="0.25">
      <c r="B420" s="417"/>
      <c r="C420" s="417"/>
      <c r="D420" s="417"/>
      <c r="E420" s="417"/>
      <c r="F420" s="417"/>
      <c r="G420" s="417"/>
      <c r="H420" s="417"/>
      <c r="I420" s="417"/>
      <c r="J420" s="417"/>
      <c r="K420" s="417"/>
      <c r="L420" s="417"/>
      <c r="M420" s="417"/>
      <c r="N420" s="417"/>
      <c r="O420" s="417"/>
      <c r="P420" s="417"/>
      <c r="Q420" s="417"/>
      <c r="R420" s="417"/>
      <c r="S420" s="417"/>
      <c r="T420" s="417"/>
      <c r="U420" s="417"/>
      <c r="V420" s="417"/>
      <c r="W420" s="417"/>
      <c r="X420" s="417"/>
      <c r="Y420" s="417"/>
      <c r="Z420" s="417"/>
      <c r="AA420" s="417"/>
      <c r="AB420" s="417"/>
      <c r="AC420" s="417"/>
    </row>
    <row r="421" spans="2:29" x14ac:dyDescent="0.25">
      <c r="B421" s="417"/>
      <c r="C421" s="417"/>
      <c r="D421" s="417"/>
      <c r="E421" s="417"/>
      <c r="F421" s="417"/>
      <c r="G421" s="417"/>
      <c r="H421" s="417"/>
      <c r="I421" s="417"/>
      <c r="J421" s="417"/>
      <c r="K421" s="417"/>
      <c r="L421" s="417"/>
      <c r="M421" s="417"/>
      <c r="N421" s="417"/>
      <c r="O421" s="417"/>
      <c r="P421" s="417"/>
      <c r="Q421" s="417"/>
      <c r="R421" s="417"/>
      <c r="S421" s="417"/>
      <c r="T421" s="417"/>
      <c r="U421" s="417"/>
      <c r="V421" s="417"/>
      <c r="W421" s="417"/>
      <c r="X421" s="417"/>
      <c r="Y421" s="417"/>
      <c r="Z421" s="417"/>
      <c r="AA421" s="417"/>
      <c r="AB421" s="417"/>
      <c r="AC421" s="417"/>
    </row>
    <row r="422" spans="2:29" x14ac:dyDescent="0.25">
      <c r="B422" s="417"/>
      <c r="C422" s="417"/>
      <c r="D422" s="417"/>
      <c r="E422" s="417"/>
      <c r="F422" s="417"/>
      <c r="G422" s="417"/>
      <c r="H422" s="417"/>
      <c r="I422" s="417"/>
      <c r="J422" s="417"/>
      <c r="K422" s="417"/>
      <c r="L422" s="417"/>
      <c r="M422" s="417"/>
      <c r="N422" s="417"/>
      <c r="O422" s="417"/>
      <c r="P422" s="417"/>
      <c r="Q422" s="417"/>
      <c r="R422" s="417"/>
      <c r="S422" s="417"/>
      <c r="T422" s="417"/>
      <c r="U422" s="417"/>
      <c r="V422" s="417"/>
      <c r="W422" s="417"/>
      <c r="X422" s="417"/>
      <c r="Y422" s="417"/>
      <c r="Z422" s="417"/>
      <c r="AA422" s="417"/>
      <c r="AB422" s="417"/>
      <c r="AC422" s="417"/>
    </row>
    <row r="423" spans="2:29" x14ac:dyDescent="0.25">
      <c r="B423" s="417"/>
      <c r="C423" s="417"/>
      <c r="D423" s="417"/>
      <c r="E423" s="417"/>
      <c r="F423" s="417"/>
      <c r="G423" s="417"/>
      <c r="H423" s="417"/>
      <c r="I423" s="417"/>
      <c r="J423" s="417"/>
      <c r="K423" s="417"/>
      <c r="L423" s="417"/>
      <c r="M423" s="417"/>
      <c r="N423" s="417"/>
      <c r="O423" s="417"/>
      <c r="P423" s="417"/>
      <c r="Q423" s="417"/>
      <c r="R423" s="417"/>
      <c r="S423" s="417"/>
      <c r="T423" s="417"/>
      <c r="U423" s="417"/>
      <c r="V423" s="417"/>
      <c r="W423" s="417"/>
      <c r="X423" s="417"/>
      <c r="Y423" s="417"/>
      <c r="Z423" s="417"/>
      <c r="AA423" s="417"/>
      <c r="AB423" s="417"/>
      <c r="AC423" s="417"/>
    </row>
    <row r="424" spans="2:29" x14ac:dyDescent="0.25">
      <c r="B424" s="417"/>
      <c r="C424" s="417"/>
      <c r="D424" s="417"/>
      <c r="E424" s="417"/>
      <c r="F424" s="417"/>
      <c r="G424" s="417"/>
      <c r="H424" s="417"/>
      <c r="I424" s="417"/>
      <c r="J424" s="417"/>
      <c r="K424" s="417"/>
      <c r="L424" s="417"/>
      <c r="M424" s="417"/>
      <c r="N424" s="417"/>
      <c r="O424" s="417"/>
      <c r="P424" s="417"/>
      <c r="Q424" s="417"/>
      <c r="R424" s="417"/>
      <c r="S424" s="417"/>
      <c r="T424" s="417"/>
      <c r="U424" s="417"/>
      <c r="V424" s="417"/>
      <c r="W424" s="417"/>
      <c r="X424" s="417"/>
      <c r="Y424" s="417"/>
      <c r="Z424" s="417"/>
      <c r="AA424" s="417"/>
      <c r="AB424" s="417"/>
      <c r="AC424" s="417"/>
    </row>
    <row r="425" spans="2:29" x14ac:dyDescent="0.25">
      <c r="B425" s="417"/>
      <c r="C425" s="417"/>
      <c r="D425" s="417"/>
      <c r="E425" s="417"/>
      <c r="F425" s="417"/>
      <c r="G425" s="417"/>
      <c r="H425" s="417"/>
      <c r="I425" s="417"/>
      <c r="J425" s="417"/>
      <c r="K425" s="417"/>
      <c r="L425" s="417"/>
      <c r="M425" s="417"/>
      <c r="N425" s="417"/>
      <c r="O425" s="417"/>
      <c r="P425" s="417"/>
      <c r="Q425" s="417"/>
      <c r="R425" s="417"/>
      <c r="S425" s="417"/>
      <c r="T425" s="417"/>
      <c r="U425" s="417"/>
      <c r="V425" s="417"/>
      <c r="W425" s="417"/>
      <c r="X425" s="417"/>
      <c r="Y425" s="417"/>
      <c r="Z425" s="417"/>
      <c r="AA425" s="417"/>
      <c r="AB425" s="417"/>
      <c r="AC425" s="417"/>
    </row>
    <row r="426" spans="2:29" x14ac:dyDescent="0.25">
      <c r="B426" s="417"/>
      <c r="C426" s="417"/>
      <c r="D426" s="417"/>
      <c r="E426" s="417"/>
      <c r="F426" s="417"/>
      <c r="G426" s="417"/>
      <c r="H426" s="417"/>
      <c r="I426" s="417"/>
      <c r="J426" s="417"/>
      <c r="K426" s="417"/>
      <c r="L426" s="417"/>
      <c r="M426" s="417"/>
      <c r="N426" s="417"/>
      <c r="O426" s="417"/>
      <c r="P426" s="417"/>
      <c r="Q426" s="417"/>
      <c r="R426" s="417"/>
      <c r="S426" s="417"/>
      <c r="T426" s="417"/>
      <c r="U426" s="417"/>
      <c r="V426" s="417"/>
      <c r="W426" s="417"/>
      <c r="X426" s="417"/>
      <c r="Y426" s="417"/>
      <c r="Z426" s="417"/>
      <c r="AA426" s="417"/>
      <c r="AB426" s="417"/>
      <c r="AC426" s="417"/>
    </row>
    <row r="427" spans="2:29" x14ac:dyDescent="0.25">
      <c r="B427" s="417"/>
      <c r="C427" s="417"/>
      <c r="D427" s="417"/>
      <c r="E427" s="417"/>
      <c r="F427" s="417"/>
      <c r="G427" s="417"/>
      <c r="H427" s="417"/>
      <c r="I427" s="417"/>
      <c r="J427" s="417"/>
      <c r="K427" s="417"/>
      <c r="L427" s="417"/>
      <c r="M427" s="417"/>
      <c r="N427" s="417"/>
      <c r="O427" s="417"/>
      <c r="P427" s="417"/>
      <c r="Q427" s="417"/>
      <c r="R427" s="417"/>
      <c r="S427" s="417"/>
      <c r="T427" s="417"/>
      <c r="U427" s="417"/>
      <c r="V427" s="417"/>
      <c r="W427" s="417"/>
      <c r="X427" s="417"/>
      <c r="Y427" s="417"/>
      <c r="Z427" s="417"/>
      <c r="AA427" s="417"/>
      <c r="AB427" s="417"/>
      <c r="AC427" s="417"/>
    </row>
    <row r="428" spans="2:29" x14ac:dyDescent="0.25">
      <c r="B428" s="417"/>
      <c r="C428" s="417"/>
      <c r="D428" s="417"/>
      <c r="E428" s="417"/>
      <c r="F428" s="417"/>
      <c r="G428" s="417"/>
      <c r="H428" s="417"/>
      <c r="I428" s="417"/>
      <c r="J428" s="417"/>
      <c r="K428" s="417"/>
      <c r="L428" s="417"/>
      <c r="M428" s="417"/>
      <c r="N428" s="417"/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</row>
    <row r="429" spans="2:29" x14ac:dyDescent="0.25">
      <c r="B429" s="417"/>
      <c r="C429" s="417"/>
      <c r="D429" s="417"/>
      <c r="E429" s="417"/>
      <c r="F429" s="417"/>
      <c r="G429" s="417"/>
      <c r="H429" s="417"/>
      <c r="I429" s="417"/>
      <c r="J429" s="417"/>
      <c r="K429" s="417"/>
      <c r="L429" s="417"/>
      <c r="M429" s="417"/>
      <c r="N429" s="417"/>
      <c r="O429" s="417"/>
      <c r="P429" s="417"/>
      <c r="Q429" s="417"/>
      <c r="R429" s="417"/>
      <c r="S429" s="417"/>
      <c r="T429" s="417"/>
      <c r="U429" s="417"/>
      <c r="V429" s="417"/>
      <c r="W429" s="417"/>
      <c r="X429" s="417"/>
      <c r="Y429" s="417"/>
      <c r="Z429" s="417"/>
      <c r="AA429" s="417"/>
      <c r="AB429" s="417"/>
      <c r="AC429" s="417"/>
    </row>
    <row r="430" spans="2:29" x14ac:dyDescent="0.25">
      <c r="B430" s="417"/>
      <c r="C430" s="417"/>
      <c r="D430" s="417"/>
      <c r="E430" s="417"/>
      <c r="F430" s="417"/>
      <c r="G430" s="417"/>
      <c r="H430" s="417"/>
      <c r="I430" s="417"/>
      <c r="J430" s="417"/>
      <c r="K430" s="417"/>
      <c r="L430" s="417"/>
      <c r="M430" s="417"/>
      <c r="N430" s="417"/>
      <c r="O430" s="417"/>
      <c r="P430" s="417"/>
      <c r="Q430" s="417"/>
      <c r="R430" s="417"/>
      <c r="S430" s="417"/>
      <c r="T430" s="417"/>
      <c r="U430" s="417"/>
      <c r="V430" s="417"/>
      <c r="W430" s="417"/>
      <c r="X430" s="417"/>
      <c r="Y430" s="417"/>
      <c r="Z430" s="417"/>
      <c r="AA430" s="417"/>
      <c r="AB430" s="417"/>
      <c r="AC430" s="417"/>
    </row>
    <row r="431" spans="2:29" x14ac:dyDescent="0.25">
      <c r="B431" s="417"/>
      <c r="C431" s="417"/>
      <c r="D431" s="417"/>
      <c r="E431" s="417"/>
      <c r="F431" s="417"/>
      <c r="G431" s="417"/>
      <c r="H431" s="417"/>
      <c r="I431" s="417"/>
      <c r="J431" s="417"/>
      <c r="K431" s="417"/>
      <c r="L431" s="417"/>
      <c r="M431" s="417"/>
      <c r="N431" s="417"/>
      <c r="O431" s="417"/>
      <c r="P431" s="417"/>
      <c r="Q431" s="417"/>
      <c r="R431" s="417"/>
      <c r="S431" s="417"/>
      <c r="T431" s="417"/>
      <c r="U431" s="417"/>
      <c r="V431" s="417"/>
      <c r="W431" s="417"/>
      <c r="X431" s="417"/>
      <c r="Y431" s="417"/>
      <c r="Z431" s="417"/>
      <c r="AA431" s="417"/>
      <c r="AB431" s="417"/>
      <c r="AC431" s="417"/>
    </row>
    <row r="432" spans="2:29" x14ac:dyDescent="0.25">
      <c r="B432" s="417"/>
      <c r="C432" s="417"/>
      <c r="D432" s="417"/>
      <c r="E432" s="417"/>
      <c r="F432" s="417"/>
      <c r="G432" s="417"/>
      <c r="H432" s="417"/>
      <c r="I432" s="417"/>
      <c r="J432" s="417"/>
      <c r="K432" s="417"/>
      <c r="L432" s="417"/>
      <c r="M432" s="417"/>
      <c r="N432" s="417"/>
      <c r="O432" s="417"/>
      <c r="P432" s="417"/>
      <c r="Q432" s="417"/>
      <c r="R432" s="417"/>
      <c r="S432" s="417"/>
      <c r="T432" s="417"/>
      <c r="U432" s="417"/>
      <c r="V432" s="417"/>
      <c r="W432" s="417"/>
      <c r="X432" s="417"/>
      <c r="Y432" s="417"/>
      <c r="Z432" s="417"/>
      <c r="AA432" s="417"/>
      <c r="AB432" s="417"/>
      <c r="AC432" s="417"/>
    </row>
    <row r="433" spans="2:29" x14ac:dyDescent="0.25">
      <c r="B433" s="417"/>
      <c r="C433" s="417"/>
      <c r="D433" s="417"/>
      <c r="E433" s="417"/>
      <c r="F433" s="417"/>
      <c r="G433" s="417"/>
      <c r="H433" s="417"/>
      <c r="I433" s="417"/>
      <c r="J433" s="417"/>
      <c r="K433" s="417"/>
      <c r="L433" s="417"/>
      <c r="M433" s="417"/>
      <c r="N433" s="417"/>
      <c r="O433" s="417"/>
      <c r="P433" s="417"/>
      <c r="Q433" s="417"/>
      <c r="R433" s="417"/>
      <c r="S433" s="417"/>
      <c r="T433" s="417"/>
      <c r="U433" s="417"/>
      <c r="V433" s="417"/>
      <c r="W433" s="417"/>
      <c r="X433" s="417"/>
      <c r="Y433" s="417"/>
      <c r="Z433" s="417"/>
      <c r="AA433" s="417"/>
      <c r="AB433" s="417"/>
      <c r="AC433" s="417"/>
    </row>
    <row r="434" spans="2:29" x14ac:dyDescent="0.25">
      <c r="B434" s="417"/>
      <c r="C434" s="417"/>
      <c r="D434" s="417"/>
      <c r="E434" s="417"/>
      <c r="F434" s="417"/>
      <c r="G434" s="417"/>
      <c r="H434" s="417"/>
      <c r="I434" s="417"/>
      <c r="J434" s="417"/>
      <c r="K434" s="417"/>
      <c r="L434" s="417"/>
      <c r="M434" s="417"/>
      <c r="N434" s="417"/>
      <c r="O434" s="417"/>
      <c r="P434" s="417"/>
      <c r="Q434" s="417"/>
      <c r="R434" s="417"/>
      <c r="S434" s="417"/>
      <c r="T434" s="417"/>
      <c r="U434" s="417"/>
      <c r="V434" s="417"/>
      <c r="W434" s="417"/>
      <c r="X434" s="417"/>
      <c r="Y434" s="417"/>
      <c r="Z434" s="417"/>
      <c r="AA434" s="417"/>
      <c r="AB434" s="417"/>
      <c r="AC434" s="417"/>
    </row>
    <row r="435" spans="2:29" x14ac:dyDescent="0.25">
      <c r="B435" s="417"/>
      <c r="C435" s="417"/>
      <c r="D435" s="417"/>
      <c r="E435" s="417"/>
      <c r="F435" s="417"/>
      <c r="G435" s="417"/>
      <c r="H435" s="417"/>
      <c r="I435" s="417"/>
      <c r="J435" s="417"/>
      <c r="K435" s="417"/>
      <c r="L435" s="417"/>
      <c r="M435" s="417"/>
      <c r="N435" s="417"/>
      <c r="O435" s="417"/>
      <c r="P435" s="417"/>
      <c r="Q435" s="417"/>
      <c r="R435" s="417"/>
      <c r="S435" s="417"/>
      <c r="T435" s="417"/>
      <c r="U435" s="417"/>
      <c r="V435" s="417"/>
      <c r="W435" s="417"/>
      <c r="X435" s="417"/>
      <c r="Y435" s="417"/>
      <c r="Z435" s="417"/>
      <c r="AA435" s="417"/>
      <c r="AB435" s="417"/>
      <c r="AC435" s="417"/>
    </row>
    <row r="436" spans="2:29" x14ac:dyDescent="0.25">
      <c r="B436" s="417"/>
      <c r="C436" s="417"/>
      <c r="D436" s="417"/>
      <c r="E436" s="417"/>
      <c r="F436" s="417"/>
      <c r="G436" s="417"/>
      <c r="H436" s="417"/>
      <c r="I436" s="417"/>
      <c r="J436" s="417"/>
      <c r="K436" s="417"/>
      <c r="L436" s="417"/>
      <c r="M436" s="417"/>
      <c r="N436" s="417"/>
      <c r="O436" s="417"/>
      <c r="P436" s="417"/>
      <c r="Q436" s="417"/>
      <c r="R436" s="417"/>
      <c r="S436" s="417"/>
      <c r="T436" s="417"/>
      <c r="U436" s="417"/>
      <c r="V436" s="417"/>
      <c r="W436" s="417"/>
      <c r="X436" s="417"/>
      <c r="Y436" s="417"/>
      <c r="Z436" s="417"/>
      <c r="AA436" s="417"/>
      <c r="AB436" s="417"/>
      <c r="AC436" s="417"/>
    </row>
    <row r="437" spans="2:29" x14ac:dyDescent="0.25">
      <c r="B437" s="417"/>
      <c r="C437" s="417"/>
      <c r="D437" s="417"/>
      <c r="E437" s="417"/>
      <c r="F437" s="417"/>
      <c r="G437" s="417"/>
      <c r="H437" s="417"/>
      <c r="I437" s="417"/>
      <c r="J437" s="417"/>
      <c r="K437" s="417"/>
      <c r="L437" s="417"/>
      <c r="M437" s="417"/>
      <c r="N437" s="417"/>
      <c r="O437" s="417"/>
      <c r="P437" s="417"/>
      <c r="Q437" s="417"/>
      <c r="R437" s="417"/>
      <c r="S437" s="417"/>
      <c r="T437" s="417"/>
      <c r="U437" s="417"/>
      <c r="V437" s="417"/>
      <c r="W437" s="417"/>
      <c r="X437" s="417"/>
      <c r="Y437" s="417"/>
      <c r="Z437" s="417"/>
      <c r="AA437" s="417"/>
      <c r="AB437" s="417"/>
      <c r="AC437" s="417"/>
    </row>
    <row r="438" spans="2:29" x14ac:dyDescent="0.25">
      <c r="B438" s="417"/>
      <c r="C438" s="417"/>
      <c r="D438" s="417"/>
      <c r="E438" s="417"/>
      <c r="F438" s="417"/>
      <c r="G438" s="417"/>
      <c r="H438" s="417"/>
      <c r="I438" s="417"/>
      <c r="J438" s="417"/>
      <c r="K438" s="417"/>
      <c r="L438" s="417"/>
      <c r="M438" s="417"/>
      <c r="N438" s="417"/>
      <c r="O438" s="417"/>
      <c r="P438" s="417"/>
      <c r="Q438" s="417"/>
      <c r="R438" s="417"/>
      <c r="S438" s="417"/>
      <c r="T438" s="417"/>
      <c r="U438" s="417"/>
      <c r="V438" s="417"/>
      <c r="W438" s="417"/>
      <c r="X438" s="417"/>
      <c r="Y438" s="417"/>
      <c r="Z438" s="417"/>
      <c r="AA438" s="417"/>
      <c r="AB438" s="417"/>
      <c r="AC438" s="417"/>
    </row>
    <row r="439" spans="2:29" x14ac:dyDescent="0.25">
      <c r="B439" s="417"/>
      <c r="C439" s="417"/>
      <c r="D439" s="417"/>
      <c r="E439" s="417"/>
      <c r="F439" s="417"/>
      <c r="G439" s="417"/>
      <c r="H439" s="417"/>
      <c r="I439" s="417"/>
      <c r="J439" s="417"/>
      <c r="K439" s="417"/>
      <c r="L439" s="417"/>
      <c r="M439" s="417"/>
      <c r="N439" s="417"/>
      <c r="O439" s="417"/>
      <c r="P439" s="417"/>
      <c r="Q439" s="417"/>
      <c r="R439" s="417"/>
      <c r="S439" s="417"/>
      <c r="T439" s="417"/>
      <c r="U439" s="417"/>
      <c r="V439" s="417"/>
      <c r="W439" s="417"/>
      <c r="X439" s="417"/>
      <c r="Y439" s="417"/>
      <c r="Z439" s="417"/>
      <c r="AA439" s="417"/>
      <c r="AB439" s="417"/>
      <c r="AC439" s="417"/>
    </row>
    <row r="440" spans="2:29" x14ac:dyDescent="0.25"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  <c r="L440" s="417"/>
      <c r="M440" s="417"/>
      <c r="N440" s="417"/>
      <c r="O440" s="417"/>
      <c r="P440" s="417"/>
      <c r="Q440" s="417"/>
      <c r="R440" s="417"/>
      <c r="S440" s="417"/>
      <c r="T440" s="417"/>
      <c r="U440" s="417"/>
      <c r="V440" s="417"/>
      <c r="W440" s="417"/>
      <c r="X440" s="417"/>
      <c r="Y440" s="417"/>
      <c r="Z440" s="417"/>
      <c r="AA440" s="417"/>
      <c r="AB440" s="417"/>
      <c r="AC440" s="417"/>
    </row>
    <row r="441" spans="2:29" x14ac:dyDescent="0.25">
      <c r="B441" s="417"/>
      <c r="C441" s="417"/>
      <c r="D441" s="417"/>
      <c r="E441" s="417"/>
      <c r="F441" s="417"/>
      <c r="G441" s="417"/>
      <c r="H441" s="417"/>
      <c r="I441" s="417"/>
      <c r="J441" s="417"/>
      <c r="K441" s="417"/>
      <c r="L441" s="417"/>
      <c r="M441" s="417"/>
      <c r="N441" s="417"/>
      <c r="O441" s="417"/>
      <c r="P441" s="417"/>
      <c r="Q441" s="417"/>
      <c r="R441" s="417"/>
      <c r="S441" s="417"/>
      <c r="T441" s="417"/>
      <c r="U441" s="417"/>
      <c r="V441" s="417"/>
      <c r="W441" s="417"/>
      <c r="X441" s="417"/>
      <c r="Y441" s="417"/>
      <c r="Z441" s="417"/>
      <c r="AA441" s="417"/>
      <c r="AB441" s="417"/>
      <c r="AC441" s="417"/>
    </row>
    <row r="442" spans="2:29" x14ac:dyDescent="0.25">
      <c r="B442" s="417"/>
      <c r="C442" s="417"/>
      <c r="D442" s="417"/>
      <c r="E442" s="417"/>
      <c r="F442" s="417"/>
      <c r="G442" s="417"/>
      <c r="H442" s="417"/>
      <c r="I442" s="417"/>
      <c r="J442" s="417"/>
      <c r="K442" s="417"/>
      <c r="L442" s="417"/>
      <c r="M442" s="417"/>
      <c r="N442" s="417"/>
      <c r="O442" s="417"/>
      <c r="P442" s="417"/>
      <c r="Q442" s="417"/>
      <c r="R442" s="417"/>
      <c r="S442" s="417"/>
      <c r="T442" s="417"/>
      <c r="U442" s="417"/>
      <c r="V442" s="417"/>
      <c r="W442" s="417"/>
      <c r="X442" s="417"/>
      <c r="Y442" s="417"/>
      <c r="Z442" s="417"/>
      <c r="AA442" s="417"/>
      <c r="AB442" s="417"/>
      <c r="AC442" s="417"/>
    </row>
    <row r="443" spans="2:29" x14ac:dyDescent="0.25">
      <c r="B443" s="417"/>
      <c r="C443" s="417"/>
      <c r="D443" s="417"/>
      <c r="E443" s="417"/>
      <c r="F443" s="417"/>
      <c r="G443" s="417"/>
      <c r="H443" s="417"/>
      <c r="I443" s="417"/>
      <c r="J443" s="417"/>
      <c r="K443" s="417"/>
      <c r="L443" s="417"/>
      <c r="M443" s="417"/>
      <c r="N443" s="417"/>
      <c r="O443" s="417"/>
      <c r="P443" s="417"/>
      <c r="Q443" s="417"/>
      <c r="R443" s="417"/>
      <c r="S443" s="417"/>
      <c r="T443" s="417"/>
      <c r="U443" s="417"/>
      <c r="V443" s="417"/>
      <c r="W443" s="417"/>
      <c r="X443" s="417"/>
      <c r="Y443" s="417"/>
      <c r="Z443" s="417"/>
      <c r="AA443" s="417"/>
      <c r="AB443" s="417"/>
      <c r="AC443" s="417"/>
    </row>
    <row r="444" spans="2:29" x14ac:dyDescent="0.25">
      <c r="B444" s="417"/>
      <c r="C444" s="417"/>
      <c r="D444" s="417"/>
      <c r="E444" s="417"/>
      <c r="F444" s="417"/>
      <c r="G444" s="417"/>
      <c r="H444" s="417"/>
      <c r="I444" s="417"/>
      <c r="J444" s="417"/>
      <c r="K444" s="417"/>
      <c r="L444" s="417"/>
      <c r="M444" s="417"/>
      <c r="N444" s="417"/>
      <c r="O444" s="417"/>
      <c r="P444" s="417"/>
      <c r="Q444" s="417"/>
      <c r="R444" s="417"/>
      <c r="S444" s="417"/>
      <c r="T444" s="417"/>
      <c r="U444" s="417"/>
      <c r="V444" s="417"/>
      <c r="W444" s="417"/>
      <c r="X444" s="417"/>
      <c r="Y444" s="417"/>
      <c r="Z444" s="417"/>
      <c r="AA444" s="417"/>
      <c r="AB444" s="417"/>
      <c r="AC444" s="417"/>
    </row>
    <row r="445" spans="2:29" x14ac:dyDescent="0.25">
      <c r="B445" s="417"/>
      <c r="C445" s="417"/>
      <c r="D445" s="417"/>
      <c r="E445" s="417"/>
      <c r="F445" s="417"/>
      <c r="G445" s="417"/>
      <c r="H445" s="417"/>
      <c r="I445" s="417"/>
      <c r="J445" s="417"/>
      <c r="K445" s="417"/>
      <c r="L445" s="417"/>
      <c r="M445" s="417"/>
      <c r="N445" s="417"/>
      <c r="O445" s="417"/>
      <c r="P445" s="417"/>
      <c r="Q445" s="417"/>
      <c r="R445" s="417"/>
      <c r="S445" s="417"/>
      <c r="T445" s="417"/>
      <c r="U445" s="417"/>
      <c r="V445" s="417"/>
      <c r="W445" s="417"/>
      <c r="X445" s="417"/>
      <c r="Y445" s="417"/>
      <c r="Z445" s="417"/>
      <c r="AA445" s="417"/>
      <c r="AB445" s="417"/>
      <c r="AC445" s="417"/>
    </row>
    <row r="446" spans="2:29" x14ac:dyDescent="0.25">
      <c r="B446" s="417"/>
      <c r="C446" s="417"/>
      <c r="D446" s="417"/>
      <c r="E446" s="417"/>
      <c r="F446" s="417"/>
      <c r="G446" s="417"/>
      <c r="H446" s="417"/>
      <c r="I446" s="417"/>
      <c r="J446" s="417"/>
      <c r="K446" s="417"/>
      <c r="L446" s="417"/>
      <c r="M446" s="417"/>
      <c r="N446" s="417"/>
      <c r="O446" s="417"/>
      <c r="P446" s="417"/>
      <c r="Q446" s="417"/>
      <c r="R446" s="417"/>
      <c r="S446" s="417"/>
      <c r="T446" s="417"/>
      <c r="U446" s="417"/>
      <c r="V446" s="417"/>
      <c r="W446" s="417"/>
      <c r="X446" s="417"/>
      <c r="Y446" s="417"/>
      <c r="Z446" s="417"/>
      <c r="AA446" s="417"/>
      <c r="AB446" s="417"/>
      <c r="AC446" s="417"/>
    </row>
    <row r="447" spans="2:29" x14ac:dyDescent="0.25">
      <c r="B447" s="417"/>
      <c r="C447" s="417"/>
      <c r="D447" s="417"/>
      <c r="E447" s="417"/>
      <c r="F447" s="417"/>
      <c r="G447" s="417"/>
      <c r="H447" s="417"/>
      <c r="I447" s="417"/>
      <c r="J447" s="417"/>
      <c r="K447" s="417"/>
      <c r="L447" s="417"/>
      <c r="M447" s="417"/>
      <c r="N447" s="417"/>
      <c r="O447" s="417"/>
      <c r="P447" s="417"/>
      <c r="Q447" s="417"/>
      <c r="R447" s="417"/>
      <c r="S447" s="417"/>
      <c r="T447" s="417"/>
      <c r="U447" s="417"/>
      <c r="V447" s="417"/>
      <c r="W447" s="417"/>
      <c r="X447" s="417"/>
      <c r="Y447" s="417"/>
      <c r="Z447" s="417"/>
      <c r="AA447" s="417"/>
      <c r="AB447" s="417"/>
      <c r="AC447" s="417"/>
    </row>
    <row r="448" spans="2:29" x14ac:dyDescent="0.25">
      <c r="B448" s="417"/>
      <c r="C448" s="417"/>
      <c r="D448" s="417"/>
      <c r="E448" s="417"/>
      <c r="F448" s="417"/>
      <c r="G448" s="417"/>
      <c r="H448" s="417"/>
      <c r="I448" s="417"/>
      <c r="J448" s="417"/>
      <c r="K448" s="417"/>
      <c r="L448" s="417"/>
      <c r="M448" s="417"/>
      <c r="N448" s="417"/>
      <c r="O448" s="417"/>
      <c r="P448" s="417"/>
      <c r="Q448" s="417"/>
      <c r="R448" s="417"/>
      <c r="S448" s="417"/>
      <c r="T448" s="417"/>
      <c r="U448" s="417"/>
      <c r="V448" s="417"/>
      <c r="W448" s="417"/>
      <c r="X448" s="417"/>
      <c r="Y448" s="417"/>
      <c r="Z448" s="417"/>
      <c r="AA448" s="417"/>
      <c r="AB448" s="417"/>
      <c r="AC448" s="417"/>
    </row>
    <row r="449" spans="2:29" x14ac:dyDescent="0.25">
      <c r="B449" s="417"/>
      <c r="C449" s="417"/>
      <c r="D449" s="417"/>
      <c r="E449" s="417"/>
      <c r="F449" s="417"/>
      <c r="G449" s="417"/>
      <c r="H449" s="417"/>
      <c r="I449" s="417"/>
      <c r="J449" s="417"/>
      <c r="K449" s="417"/>
      <c r="L449" s="417"/>
      <c r="M449" s="417"/>
      <c r="N449" s="417"/>
      <c r="O449" s="417"/>
      <c r="P449" s="417"/>
      <c r="Q449" s="417"/>
      <c r="R449" s="417"/>
      <c r="S449" s="417"/>
      <c r="T449" s="417"/>
      <c r="U449" s="417"/>
      <c r="V449" s="417"/>
      <c r="W449" s="417"/>
      <c r="X449" s="417"/>
      <c r="Y449" s="417"/>
      <c r="Z449" s="417"/>
      <c r="AA449" s="417"/>
      <c r="AB449" s="417"/>
      <c r="AC449" s="417"/>
    </row>
    <row r="450" spans="2:29" x14ac:dyDescent="0.25">
      <c r="B450" s="417"/>
      <c r="C450" s="417"/>
      <c r="D450" s="417"/>
      <c r="E450" s="417"/>
      <c r="F450" s="417"/>
      <c r="G450" s="417"/>
      <c r="H450" s="417"/>
      <c r="I450" s="417"/>
      <c r="J450" s="417"/>
      <c r="K450" s="417"/>
      <c r="L450" s="417"/>
      <c r="M450" s="417"/>
      <c r="N450" s="417"/>
      <c r="O450" s="417"/>
      <c r="P450" s="417"/>
      <c r="Q450" s="417"/>
      <c r="R450" s="417"/>
      <c r="S450" s="417"/>
      <c r="T450" s="417"/>
      <c r="U450" s="417"/>
      <c r="V450" s="417"/>
      <c r="W450" s="417"/>
      <c r="X450" s="417"/>
      <c r="Y450" s="417"/>
      <c r="Z450" s="417"/>
      <c r="AA450" s="417"/>
      <c r="AB450" s="417"/>
      <c r="AC450" s="417"/>
    </row>
    <row r="451" spans="2:29" x14ac:dyDescent="0.25">
      <c r="B451" s="417"/>
      <c r="C451" s="417"/>
      <c r="D451" s="417"/>
      <c r="E451" s="417"/>
      <c r="F451" s="417"/>
      <c r="G451" s="417"/>
      <c r="H451" s="417"/>
      <c r="I451" s="417"/>
      <c r="J451" s="417"/>
      <c r="K451" s="417"/>
      <c r="L451" s="417"/>
      <c r="M451" s="417"/>
      <c r="N451" s="417"/>
      <c r="O451" s="417"/>
      <c r="P451" s="417"/>
      <c r="Q451" s="417"/>
      <c r="R451" s="417"/>
      <c r="S451" s="417"/>
      <c r="T451" s="417"/>
      <c r="U451" s="417"/>
      <c r="V451" s="417"/>
      <c r="W451" s="417"/>
      <c r="X451" s="417"/>
      <c r="Y451" s="417"/>
      <c r="Z451" s="417"/>
      <c r="AA451" s="417"/>
      <c r="AB451" s="417"/>
      <c r="AC451" s="417"/>
    </row>
    <row r="452" spans="2:29" x14ac:dyDescent="0.25">
      <c r="B452" s="417"/>
      <c r="C452" s="417"/>
      <c r="D452" s="417"/>
      <c r="E452" s="417"/>
      <c r="F452" s="417"/>
      <c r="G452" s="417"/>
      <c r="H452" s="417"/>
      <c r="I452" s="417"/>
      <c r="J452" s="417"/>
      <c r="K452" s="417"/>
      <c r="L452" s="417"/>
      <c r="M452" s="417"/>
      <c r="N452" s="417"/>
      <c r="O452" s="417"/>
      <c r="P452" s="417"/>
      <c r="Q452" s="417"/>
      <c r="R452" s="417"/>
      <c r="S452" s="417"/>
      <c r="T452" s="417"/>
      <c r="U452" s="417"/>
      <c r="V452" s="417"/>
      <c r="W452" s="417"/>
      <c r="X452" s="417"/>
      <c r="Y452" s="417"/>
      <c r="Z452" s="417"/>
      <c r="AA452" s="417"/>
      <c r="AB452" s="417"/>
      <c r="AC452" s="417"/>
    </row>
    <row r="453" spans="2:29" x14ac:dyDescent="0.25">
      <c r="B453" s="417"/>
      <c r="C453" s="417"/>
      <c r="D453" s="417"/>
      <c r="E453" s="417"/>
      <c r="F453" s="417"/>
      <c r="G453" s="417"/>
      <c r="H453" s="417"/>
      <c r="I453" s="417"/>
      <c r="J453" s="417"/>
      <c r="K453" s="417"/>
      <c r="L453" s="417"/>
      <c r="M453" s="417"/>
      <c r="N453" s="417"/>
      <c r="O453" s="417"/>
      <c r="P453" s="417"/>
      <c r="Q453" s="417"/>
      <c r="R453" s="417"/>
      <c r="S453" s="417"/>
      <c r="T453" s="417"/>
      <c r="U453" s="417"/>
      <c r="V453" s="417"/>
      <c r="W453" s="417"/>
      <c r="X453" s="417"/>
      <c r="Y453" s="417"/>
      <c r="Z453" s="417"/>
      <c r="AA453" s="417"/>
      <c r="AB453" s="417"/>
      <c r="AC453" s="417"/>
    </row>
    <row r="454" spans="2:29" x14ac:dyDescent="0.25">
      <c r="B454" s="417"/>
      <c r="C454" s="417"/>
      <c r="D454" s="417"/>
      <c r="E454" s="417"/>
      <c r="F454" s="417"/>
      <c r="G454" s="417"/>
      <c r="H454" s="417"/>
      <c r="I454" s="417"/>
      <c r="J454" s="417"/>
      <c r="K454" s="417"/>
      <c r="L454" s="417"/>
      <c r="M454" s="417"/>
      <c r="N454" s="417"/>
      <c r="O454" s="417"/>
      <c r="P454" s="417"/>
      <c r="Q454" s="417"/>
      <c r="R454" s="417"/>
      <c r="S454" s="417"/>
      <c r="T454" s="417"/>
      <c r="U454" s="417"/>
      <c r="V454" s="417"/>
      <c r="W454" s="417"/>
      <c r="X454" s="417"/>
      <c r="Y454" s="417"/>
      <c r="Z454" s="417"/>
      <c r="AA454" s="417"/>
      <c r="AB454" s="417"/>
      <c r="AC454" s="417"/>
    </row>
    <row r="455" spans="2:29" x14ac:dyDescent="0.25">
      <c r="B455" s="417"/>
      <c r="C455" s="417"/>
      <c r="D455" s="417"/>
      <c r="E455" s="417"/>
      <c r="F455" s="417"/>
      <c r="G455" s="417"/>
      <c r="H455" s="417"/>
      <c r="I455" s="417"/>
      <c r="J455" s="417"/>
      <c r="K455" s="417"/>
      <c r="L455" s="417"/>
      <c r="M455" s="417"/>
      <c r="N455" s="417"/>
      <c r="O455" s="417"/>
      <c r="P455" s="417"/>
      <c r="Q455" s="417"/>
      <c r="R455" s="417"/>
      <c r="S455" s="417"/>
      <c r="T455" s="417"/>
      <c r="U455" s="417"/>
      <c r="V455" s="417"/>
      <c r="W455" s="417"/>
      <c r="X455" s="417"/>
      <c r="Y455" s="417"/>
      <c r="Z455" s="417"/>
      <c r="AA455" s="417"/>
      <c r="AB455" s="417"/>
      <c r="AC455" s="417"/>
    </row>
    <row r="456" spans="2:29" x14ac:dyDescent="0.25">
      <c r="B456" s="417"/>
      <c r="C456" s="417"/>
      <c r="D456" s="417"/>
      <c r="E456" s="417"/>
      <c r="F456" s="417"/>
      <c r="G456" s="417"/>
      <c r="H456" s="417"/>
      <c r="I456" s="417"/>
      <c r="J456" s="417"/>
      <c r="K456" s="417"/>
      <c r="L456" s="417"/>
      <c r="M456" s="417"/>
      <c r="N456" s="417"/>
      <c r="O456" s="417"/>
      <c r="P456" s="417"/>
      <c r="Q456" s="417"/>
      <c r="R456" s="417"/>
      <c r="S456" s="417"/>
      <c r="T456" s="417"/>
      <c r="U456" s="417"/>
      <c r="V456" s="417"/>
      <c r="W456" s="417"/>
      <c r="X456" s="417"/>
      <c r="Y456" s="417"/>
      <c r="Z456" s="417"/>
      <c r="AA456" s="417"/>
      <c r="AB456" s="417"/>
      <c r="AC456" s="417"/>
    </row>
    <row r="457" spans="2:29" x14ac:dyDescent="0.25">
      <c r="B457" s="417"/>
      <c r="C457" s="417"/>
      <c r="D457" s="417"/>
      <c r="E457" s="417"/>
      <c r="F457" s="417"/>
      <c r="G457" s="417"/>
      <c r="H457" s="417"/>
      <c r="I457" s="417"/>
      <c r="J457" s="417"/>
      <c r="K457" s="417"/>
      <c r="L457" s="417"/>
      <c r="M457" s="417"/>
      <c r="N457" s="417"/>
      <c r="O457" s="417"/>
      <c r="P457" s="417"/>
      <c r="Q457" s="417"/>
      <c r="R457" s="417"/>
      <c r="S457" s="417"/>
      <c r="T457" s="417"/>
      <c r="U457" s="417"/>
      <c r="V457" s="417"/>
      <c r="W457" s="417"/>
      <c r="X457" s="417"/>
      <c r="Y457" s="417"/>
      <c r="Z457" s="417"/>
      <c r="AA457" s="417"/>
      <c r="AB457" s="417"/>
      <c r="AC457" s="417"/>
    </row>
    <row r="458" spans="2:29" x14ac:dyDescent="0.25">
      <c r="B458" s="417"/>
      <c r="C458" s="417"/>
      <c r="D458" s="417"/>
      <c r="E458" s="417"/>
      <c r="F458" s="417"/>
      <c r="G458" s="417"/>
      <c r="H458" s="417"/>
      <c r="I458" s="417"/>
      <c r="J458" s="417"/>
      <c r="K458" s="417"/>
      <c r="L458" s="417"/>
      <c r="M458" s="417"/>
      <c r="N458" s="417"/>
      <c r="O458" s="417"/>
      <c r="P458" s="417"/>
      <c r="Q458" s="417"/>
      <c r="R458" s="417"/>
      <c r="S458" s="417"/>
      <c r="T458" s="417"/>
      <c r="U458" s="417"/>
      <c r="V458" s="417"/>
      <c r="W458" s="417"/>
      <c r="X458" s="417"/>
      <c r="Y458" s="417"/>
      <c r="Z458" s="417"/>
      <c r="AA458" s="417"/>
      <c r="AB458" s="417"/>
      <c r="AC458" s="417"/>
    </row>
    <row r="459" spans="2:29" x14ac:dyDescent="0.25">
      <c r="B459" s="417"/>
      <c r="C459" s="417"/>
      <c r="D459" s="417"/>
      <c r="E459" s="417"/>
      <c r="F459" s="417"/>
      <c r="G459" s="417"/>
      <c r="H459" s="417"/>
      <c r="I459" s="417"/>
      <c r="J459" s="417"/>
      <c r="K459" s="417"/>
      <c r="L459" s="417"/>
      <c r="M459" s="417"/>
      <c r="N459" s="417"/>
      <c r="O459" s="417"/>
      <c r="P459" s="417"/>
      <c r="Q459" s="417"/>
      <c r="R459" s="417"/>
      <c r="S459" s="417"/>
      <c r="T459" s="417"/>
      <c r="U459" s="417"/>
      <c r="V459" s="417"/>
      <c r="W459" s="417"/>
      <c r="X459" s="417"/>
      <c r="Y459" s="417"/>
      <c r="Z459" s="417"/>
      <c r="AA459" s="417"/>
      <c r="AB459" s="417"/>
      <c r="AC459" s="417"/>
    </row>
    <row r="460" spans="2:29" x14ac:dyDescent="0.25">
      <c r="B460" s="417"/>
      <c r="C460" s="417"/>
      <c r="D460" s="417"/>
      <c r="E460" s="417"/>
      <c r="F460" s="417"/>
      <c r="G460" s="417"/>
      <c r="H460" s="417"/>
      <c r="I460" s="417"/>
      <c r="J460" s="417"/>
      <c r="K460" s="417"/>
      <c r="L460" s="417"/>
      <c r="M460" s="417"/>
      <c r="N460" s="417"/>
      <c r="O460" s="417"/>
      <c r="P460" s="417"/>
      <c r="Q460" s="417"/>
      <c r="R460" s="417"/>
      <c r="S460" s="417"/>
      <c r="T460" s="417"/>
      <c r="U460" s="417"/>
      <c r="V460" s="417"/>
      <c r="W460" s="417"/>
      <c r="X460" s="417"/>
      <c r="Y460" s="417"/>
      <c r="Z460" s="417"/>
      <c r="AA460" s="417"/>
      <c r="AB460" s="417"/>
      <c r="AC460" s="417"/>
    </row>
    <row r="461" spans="2:29" x14ac:dyDescent="0.25">
      <c r="B461" s="417"/>
      <c r="C461" s="417"/>
      <c r="D461" s="417"/>
      <c r="E461" s="417"/>
      <c r="F461" s="417"/>
      <c r="G461" s="417"/>
      <c r="H461" s="417"/>
      <c r="I461" s="417"/>
      <c r="J461" s="417"/>
      <c r="K461" s="417"/>
      <c r="L461" s="417"/>
      <c r="M461" s="417"/>
      <c r="N461" s="417"/>
      <c r="O461" s="417"/>
      <c r="P461" s="417"/>
      <c r="Q461" s="417"/>
      <c r="R461" s="417"/>
      <c r="S461" s="417"/>
      <c r="T461" s="417"/>
      <c r="U461" s="417"/>
      <c r="V461" s="417"/>
      <c r="W461" s="417"/>
      <c r="X461" s="417"/>
      <c r="Y461" s="417"/>
      <c r="Z461" s="417"/>
      <c r="AA461" s="417"/>
      <c r="AB461" s="417"/>
      <c r="AC461" s="417"/>
    </row>
    <row r="462" spans="2:29" x14ac:dyDescent="0.25">
      <c r="B462" s="417"/>
      <c r="C462" s="417"/>
      <c r="D462" s="417"/>
      <c r="E462" s="417"/>
      <c r="F462" s="417"/>
      <c r="G462" s="417"/>
      <c r="H462" s="417"/>
      <c r="I462" s="417"/>
      <c r="J462" s="417"/>
      <c r="K462" s="417"/>
      <c r="L462" s="417"/>
      <c r="M462" s="417"/>
      <c r="N462" s="417"/>
      <c r="O462" s="417"/>
      <c r="P462" s="417"/>
      <c r="Q462" s="417"/>
      <c r="R462" s="417"/>
      <c r="S462" s="417"/>
      <c r="T462" s="417"/>
      <c r="U462" s="417"/>
      <c r="V462" s="417"/>
      <c r="W462" s="417"/>
      <c r="X462" s="417"/>
      <c r="Y462" s="417"/>
      <c r="Z462" s="417"/>
      <c r="AA462" s="417"/>
      <c r="AB462" s="417"/>
      <c r="AC462" s="417"/>
    </row>
    <row r="463" spans="2:29" x14ac:dyDescent="0.25">
      <c r="B463" s="417"/>
      <c r="C463" s="417"/>
      <c r="D463" s="417"/>
      <c r="E463" s="417"/>
      <c r="F463" s="417"/>
      <c r="G463" s="417"/>
      <c r="H463" s="417"/>
      <c r="I463" s="417"/>
      <c r="J463" s="417"/>
      <c r="K463" s="417"/>
      <c r="L463" s="417"/>
      <c r="M463" s="417"/>
      <c r="N463" s="417"/>
      <c r="O463" s="417"/>
      <c r="P463" s="417"/>
      <c r="Q463" s="417"/>
      <c r="R463" s="417"/>
      <c r="S463" s="417"/>
      <c r="T463" s="417"/>
      <c r="U463" s="417"/>
      <c r="V463" s="417"/>
      <c r="W463" s="417"/>
      <c r="X463" s="417"/>
      <c r="Y463" s="417"/>
      <c r="Z463" s="417"/>
      <c r="AA463" s="417"/>
      <c r="AB463" s="417"/>
      <c r="AC463" s="417"/>
    </row>
    <row r="464" spans="2:29" x14ac:dyDescent="0.25">
      <c r="B464" s="417"/>
      <c r="C464" s="417"/>
      <c r="D464" s="417"/>
      <c r="E464" s="417"/>
      <c r="F464" s="417"/>
      <c r="G464" s="417"/>
      <c r="H464" s="417"/>
      <c r="I464" s="417"/>
      <c r="J464" s="417"/>
      <c r="K464" s="417"/>
      <c r="L464" s="417"/>
      <c r="M464" s="417"/>
      <c r="N464" s="417"/>
      <c r="O464" s="417"/>
      <c r="P464" s="417"/>
      <c r="Q464" s="417"/>
      <c r="R464" s="417"/>
      <c r="S464" s="417"/>
      <c r="T464" s="417"/>
      <c r="U464" s="417"/>
      <c r="V464" s="417"/>
      <c r="W464" s="417"/>
      <c r="X464" s="417"/>
      <c r="Y464" s="417"/>
      <c r="Z464" s="417"/>
      <c r="AA464" s="417"/>
      <c r="AB464" s="417"/>
      <c r="AC464" s="417"/>
    </row>
    <row r="465" spans="2:29" x14ac:dyDescent="0.25">
      <c r="B465" s="417"/>
      <c r="C465" s="417"/>
      <c r="D465" s="417"/>
      <c r="E465" s="417"/>
      <c r="F465" s="417"/>
      <c r="G465" s="417"/>
      <c r="H465" s="417"/>
      <c r="I465" s="417"/>
      <c r="J465" s="417"/>
      <c r="K465" s="417"/>
      <c r="L465" s="417"/>
      <c r="M465" s="417"/>
      <c r="N465" s="417"/>
      <c r="O465" s="417"/>
      <c r="P465" s="417"/>
      <c r="Q465" s="417"/>
      <c r="R465" s="417"/>
      <c r="S465" s="417"/>
      <c r="T465" s="417"/>
      <c r="U465" s="417"/>
      <c r="V465" s="417"/>
      <c r="W465" s="417"/>
      <c r="X465" s="417"/>
      <c r="Y465" s="417"/>
      <c r="Z465" s="417"/>
      <c r="AA465" s="417"/>
      <c r="AB465" s="417"/>
      <c r="AC465" s="417"/>
    </row>
    <row r="466" spans="2:29" x14ac:dyDescent="0.25">
      <c r="B466" s="417"/>
      <c r="C466" s="417"/>
      <c r="D466" s="417"/>
      <c r="E466" s="417"/>
      <c r="F466" s="417"/>
      <c r="G466" s="417"/>
      <c r="H466" s="417"/>
      <c r="I466" s="417"/>
      <c r="J466" s="417"/>
      <c r="K466" s="417"/>
      <c r="L466" s="417"/>
      <c r="M466" s="417"/>
      <c r="N466" s="417"/>
      <c r="O466" s="417"/>
      <c r="P466" s="417"/>
      <c r="Q466" s="417"/>
      <c r="R466" s="417"/>
      <c r="S466" s="417"/>
      <c r="T466" s="417"/>
      <c r="U466" s="417"/>
      <c r="V466" s="417"/>
      <c r="W466" s="417"/>
      <c r="X466" s="417"/>
      <c r="Y466" s="417"/>
      <c r="Z466" s="417"/>
      <c r="AA466" s="417"/>
      <c r="AB466" s="417"/>
      <c r="AC466" s="417"/>
    </row>
    <row r="467" spans="2:29" x14ac:dyDescent="0.25">
      <c r="B467" s="417"/>
      <c r="C467" s="417"/>
      <c r="D467" s="417"/>
      <c r="E467" s="417"/>
      <c r="F467" s="417"/>
      <c r="G467" s="417"/>
      <c r="H467" s="417"/>
      <c r="I467" s="417"/>
      <c r="J467" s="417"/>
      <c r="K467" s="417"/>
      <c r="L467" s="417"/>
      <c r="M467" s="417"/>
      <c r="N467" s="417"/>
      <c r="O467" s="417"/>
      <c r="P467" s="417"/>
      <c r="Q467" s="417"/>
      <c r="R467" s="417"/>
      <c r="S467" s="417"/>
      <c r="T467" s="417"/>
      <c r="U467" s="417"/>
      <c r="V467" s="417"/>
      <c r="W467" s="417"/>
      <c r="X467" s="417"/>
      <c r="Y467" s="417"/>
      <c r="Z467" s="417"/>
      <c r="AA467" s="417"/>
      <c r="AB467" s="417"/>
      <c r="AC467" s="417"/>
    </row>
    <row r="468" spans="2:29" x14ac:dyDescent="0.25">
      <c r="B468" s="417"/>
      <c r="C468" s="417"/>
      <c r="D468" s="417"/>
      <c r="E468" s="417"/>
      <c r="F468" s="417"/>
      <c r="G468" s="417"/>
      <c r="H468" s="417"/>
      <c r="I468" s="417"/>
      <c r="J468" s="417"/>
      <c r="K468" s="417"/>
      <c r="L468" s="417"/>
      <c r="M468" s="417"/>
      <c r="N468" s="417"/>
      <c r="O468" s="417"/>
      <c r="P468" s="417"/>
      <c r="Q468" s="417"/>
      <c r="R468" s="417"/>
      <c r="S468" s="417"/>
      <c r="T468" s="417"/>
      <c r="U468" s="417"/>
      <c r="V468" s="417"/>
      <c r="W468" s="417"/>
      <c r="X468" s="417"/>
      <c r="Y468" s="417"/>
      <c r="Z468" s="417"/>
      <c r="AA468" s="417"/>
      <c r="AB468" s="417"/>
      <c r="AC468" s="417"/>
    </row>
    <row r="469" spans="2:29" x14ac:dyDescent="0.25">
      <c r="B469" s="417"/>
      <c r="C469" s="417"/>
      <c r="D469" s="417"/>
      <c r="E469" s="417"/>
      <c r="F469" s="417"/>
      <c r="G469" s="417"/>
      <c r="H469" s="417"/>
      <c r="I469" s="417"/>
      <c r="J469" s="417"/>
      <c r="K469" s="417"/>
      <c r="L469" s="417"/>
      <c r="M469" s="417"/>
      <c r="N469" s="417"/>
      <c r="O469" s="417"/>
      <c r="P469" s="417"/>
      <c r="Q469" s="417"/>
      <c r="R469" s="417"/>
      <c r="S469" s="417"/>
      <c r="T469" s="417"/>
      <c r="U469" s="417"/>
      <c r="V469" s="417"/>
      <c r="W469" s="417"/>
      <c r="X469" s="417"/>
      <c r="Y469" s="417"/>
      <c r="Z469" s="417"/>
      <c r="AA469" s="417"/>
      <c r="AB469" s="417"/>
      <c r="AC469" s="417"/>
    </row>
    <row r="470" spans="2:29" x14ac:dyDescent="0.25"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s="417"/>
      <c r="M470" s="417"/>
      <c r="N470" s="417"/>
      <c r="O470" s="417"/>
      <c r="P470" s="417"/>
      <c r="Q470" s="417"/>
      <c r="R470" s="417"/>
      <c r="S470" s="417"/>
      <c r="T470" s="417"/>
      <c r="U470" s="417"/>
      <c r="V470" s="417"/>
      <c r="W470" s="417"/>
      <c r="X470" s="417"/>
      <c r="Y470" s="417"/>
      <c r="Z470" s="417"/>
      <c r="AA470" s="417"/>
      <c r="AB470" s="417"/>
      <c r="AC470" s="417"/>
    </row>
    <row r="471" spans="2:29" x14ac:dyDescent="0.25">
      <c r="B471" s="417"/>
      <c r="C471" s="417"/>
      <c r="D471" s="417"/>
      <c r="E471" s="417"/>
      <c r="F471" s="417"/>
      <c r="G471" s="417"/>
      <c r="H471" s="417"/>
      <c r="I471" s="417"/>
      <c r="J471" s="417"/>
      <c r="K471" s="417"/>
      <c r="L471" s="417"/>
      <c r="M471" s="417"/>
      <c r="N471" s="417"/>
      <c r="O471" s="417"/>
      <c r="P471" s="417"/>
      <c r="Q471" s="417"/>
      <c r="R471" s="417"/>
      <c r="S471" s="417"/>
      <c r="T471" s="417"/>
      <c r="U471" s="417"/>
      <c r="V471" s="417"/>
      <c r="W471" s="417"/>
      <c r="X471" s="417"/>
      <c r="Y471" s="417"/>
      <c r="Z471" s="417"/>
      <c r="AA471" s="417"/>
      <c r="AB471" s="417"/>
      <c r="AC471" s="417"/>
    </row>
    <row r="472" spans="2:29" x14ac:dyDescent="0.25">
      <c r="B472" s="417"/>
      <c r="C472" s="417"/>
      <c r="D472" s="417"/>
      <c r="E472" s="417"/>
      <c r="F472" s="417"/>
      <c r="G472" s="417"/>
      <c r="H472" s="417"/>
      <c r="I472" s="417"/>
      <c r="J472" s="417"/>
      <c r="K472" s="417"/>
      <c r="L472" s="417"/>
      <c r="M472" s="417"/>
      <c r="N472" s="417"/>
      <c r="O472" s="417"/>
      <c r="P472" s="417"/>
      <c r="Q472" s="417"/>
      <c r="R472" s="417"/>
      <c r="S472" s="417"/>
      <c r="T472" s="417"/>
      <c r="U472" s="417"/>
      <c r="V472" s="417"/>
      <c r="W472" s="417"/>
      <c r="X472" s="417"/>
      <c r="Y472" s="417"/>
      <c r="Z472" s="417"/>
      <c r="AA472" s="417"/>
      <c r="AB472" s="417"/>
      <c r="AC472" s="417"/>
    </row>
    <row r="473" spans="2:29" x14ac:dyDescent="0.25"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  <c r="O473" s="417"/>
      <c r="P473" s="417"/>
      <c r="Q473" s="417"/>
      <c r="R473" s="417"/>
      <c r="S473" s="417"/>
      <c r="T473" s="417"/>
      <c r="U473" s="417"/>
      <c r="V473" s="417"/>
      <c r="W473" s="417"/>
      <c r="X473" s="417"/>
      <c r="Y473" s="417"/>
      <c r="Z473" s="417"/>
      <c r="AA473" s="417"/>
      <c r="AB473" s="417"/>
      <c r="AC473" s="417"/>
    </row>
    <row r="474" spans="2:29" x14ac:dyDescent="0.25">
      <c r="B474" s="417"/>
      <c r="C474" s="417"/>
      <c r="D474" s="417"/>
      <c r="E474" s="417"/>
      <c r="F474" s="417"/>
      <c r="G474" s="417"/>
      <c r="H474" s="417"/>
      <c r="I474" s="417"/>
      <c r="J474" s="417"/>
      <c r="K474" s="417"/>
      <c r="L474" s="417"/>
      <c r="M474" s="417"/>
      <c r="N474" s="417"/>
      <c r="O474" s="417"/>
      <c r="P474" s="417"/>
      <c r="Q474" s="417"/>
      <c r="R474" s="417"/>
      <c r="S474" s="417"/>
      <c r="T474" s="417"/>
      <c r="U474" s="417"/>
      <c r="V474" s="417"/>
      <c r="W474" s="417"/>
      <c r="X474" s="417"/>
      <c r="Y474" s="417"/>
      <c r="Z474" s="417"/>
      <c r="AA474" s="417"/>
      <c r="AB474" s="417"/>
      <c r="AC474" s="417"/>
    </row>
    <row r="475" spans="2:29" x14ac:dyDescent="0.25">
      <c r="B475" s="417"/>
      <c r="C475" s="417"/>
      <c r="D475" s="417"/>
      <c r="E475" s="417"/>
      <c r="F475" s="417"/>
      <c r="G475" s="417"/>
      <c r="H475" s="417"/>
      <c r="I475" s="417"/>
      <c r="J475" s="417"/>
      <c r="K475" s="417"/>
      <c r="L475" s="417"/>
      <c r="M475" s="417"/>
      <c r="N475" s="417"/>
      <c r="O475" s="417"/>
      <c r="P475" s="417"/>
      <c r="Q475" s="417"/>
      <c r="R475" s="417"/>
      <c r="S475" s="417"/>
      <c r="T475" s="417"/>
      <c r="U475" s="417"/>
      <c r="V475" s="417"/>
      <c r="W475" s="417"/>
      <c r="X475" s="417"/>
      <c r="Y475" s="417"/>
      <c r="Z475" s="417"/>
      <c r="AA475" s="417"/>
      <c r="AB475" s="417"/>
      <c r="AC475" s="417"/>
    </row>
    <row r="476" spans="2:29" x14ac:dyDescent="0.25">
      <c r="B476" s="417"/>
      <c r="C476" s="417"/>
      <c r="D476" s="417"/>
      <c r="E476" s="417"/>
      <c r="F476" s="417"/>
      <c r="G476" s="417"/>
      <c r="H476" s="417"/>
      <c r="I476" s="417"/>
      <c r="J476" s="417"/>
      <c r="K476" s="417"/>
      <c r="L476" s="417"/>
      <c r="M476" s="417"/>
      <c r="N476" s="417"/>
      <c r="O476" s="417"/>
      <c r="P476" s="417"/>
      <c r="Q476" s="417"/>
      <c r="R476" s="417"/>
      <c r="S476" s="417"/>
      <c r="T476" s="417"/>
      <c r="U476" s="417"/>
      <c r="V476" s="417"/>
      <c r="W476" s="417"/>
      <c r="X476" s="417"/>
      <c r="Y476" s="417"/>
      <c r="Z476" s="417"/>
      <c r="AA476" s="417"/>
      <c r="AB476" s="417"/>
      <c r="AC476" s="417"/>
    </row>
    <row r="477" spans="2:29" x14ac:dyDescent="0.25">
      <c r="B477" s="417"/>
      <c r="C477" s="417"/>
      <c r="D477" s="417"/>
      <c r="E477" s="417"/>
      <c r="F477" s="417"/>
      <c r="G477" s="417"/>
      <c r="H477" s="417"/>
      <c r="I477" s="417"/>
      <c r="J477" s="417"/>
      <c r="K477" s="417"/>
      <c r="L477" s="417"/>
      <c r="M477" s="417"/>
      <c r="N477" s="417"/>
      <c r="O477" s="417"/>
      <c r="P477" s="417"/>
      <c r="Q477" s="417"/>
      <c r="R477" s="417"/>
      <c r="S477" s="417"/>
      <c r="T477" s="417"/>
      <c r="U477" s="417"/>
      <c r="V477" s="417"/>
      <c r="W477" s="417"/>
      <c r="X477" s="417"/>
      <c r="Y477" s="417"/>
      <c r="Z477" s="417"/>
      <c r="AA477" s="417"/>
      <c r="AB477" s="417"/>
      <c r="AC477" s="417"/>
    </row>
    <row r="478" spans="2:29" x14ac:dyDescent="0.25">
      <c r="B478" s="417"/>
      <c r="C478" s="417"/>
      <c r="D478" s="417"/>
      <c r="E478" s="417"/>
      <c r="F478" s="417"/>
      <c r="G478" s="417"/>
      <c r="H478" s="417"/>
      <c r="I478" s="417"/>
      <c r="J478" s="417"/>
      <c r="K478" s="417"/>
      <c r="L478" s="417"/>
      <c r="M478" s="417"/>
      <c r="N478" s="417"/>
      <c r="O478" s="417"/>
      <c r="P478" s="417"/>
      <c r="Q478" s="417"/>
      <c r="R478" s="417"/>
      <c r="S478" s="417"/>
      <c r="T478" s="417"/>
      <c r="U478" s="417"/>
      <c r="V478" s="417"/>
      <c r="W478" s="417"/>
      <c r="X478" s="417"/>
      <c r="Y478" s="417"/>
      <c r="Z478" s="417"/>
      <c r="AA478" s="417"/>
      <c r="AB478" s="417"/>
      <c r="AC478" s="417"/>
    </row>
    <row r="479" spans="2:29" x14ac:dyDescent="0.25">
      <c r="B479" s="417"/>
      <c r="C479" s="417"/>
      <c r="D479" s="417"/>
      <c r="E479" s="417"/>
      <c r="F479" s="417"/>
      <c r="G479" s="417"/>
      <c r="H479" s="417"/>
      <c r="I479" s="417"/>
      <c r="J479" s="417"/>
      <c r="K479" s="417"/>
      <c r="L479" s="417"/>
      <c r="M479" s="417"/>
      <c r="N479" s="417"/>
      <c r="O479" s="417"/>
      <c r="P479" s="417"/>
      <c r="Q479" s="417"/>
      <c r="R479" s="417"/>
      <c r="S479" s="417"/>
      <c r="T479" s="417"/>
      <c r="U479" s="417"/>
      <c r="V479" s="417"/>
      <c r="W479" s="417"/>
      <c r="X479" s="417"/>
      <c r="Y479" s="417"/>
      <c r="Z479" s="417"/>
      <c r="AA479" s="417"/>
      <c r="AB479" s="417"/>
      <c r="AC479" s="417"/>
    </row>
    <row r="480" spans="2:29" x14ac:dyDescent="0.25">
      <c r="B480" s="417"/>
      <c r="C480" s="417"/>
      <c r="D480" s="417"/>
      <c r="E480" s="417"/>
      <c r="F480" s="417"/>
      <c r="G480" s="417"/>
      <c r="H480" s="417"/>
      <c r="I480" s="417"/>
      <c r="J480" s="417"/>
      <c r="K480" s="417"/>
      <c r="L480" s="417"/>
      <c r="M480" s="417"/>
      <c r="N480" s="417"/>
      <c r="O480" s="417"/>
      <c r="P480" s="417"/>
      <c r="Q480" s="417"/>
      <c r="R480" s="417"/>
      <c r="S480" s="417"/>
      <c r="T480" s="417"/>
      <c r="U480" s="417"/>
      <c r="V480" s="417"/>
      <c r="W480" s="417"/>
      <c r="X480" s="417"/>
      <c r="Y480" s="417"/>
      <c r="Z480" s="417"/>
      <c r="AA480" s="417"/>
      <c r="AB480" s="417"/>
      <c r="AC480" s="417"/>
    </row>
    <row r="481" spans="2:29" x14ac:dyDescent="0.25">
      <c r="B481" s="417"/>
      <c r="C481" s="417"/>
      <c r="D481" s="417"/>
      <c r="E481" s="417"/>
      <c r="F481" s="417"/>
      <c r="G481" s="417"/>
      <c r="H481" s="417"/>
      <c r="I481" s="417"/>
      <c r="J481" s="417"/>
      <c r="K481" s="417"/>
      <c r="L481" s="417"/>
      <c r="M481" s="417"/>
      <c r="N481" s="417"/>
      <c r="O481" s="417"/>
      <c r="P481" s="417"/>
      <c r="Q481" s="417"/>
      <c r="R481" s="417"/>
      <c r="S481" s="417"/>
      <c r="T481" s="417"/>
      <c r="U481" s="417"/>
      <c r="V481" s="417"/>
      <c r="W481" s="417"/>
      <c r="X481" s="417"/>
      <c r="Y481" s="417"/>
      <c r="Z481" s="417"/>
      <c r="AA481" s="417"/>
      <c r="AB481" s="417"/>
      <c r="AC481" s="417"/>
    </row>
    <row r="482" spans="2:29" x14ac:dyDescent="0.25">
      <c r="B482" s="417"/>
      <c r="C482" s="417"/>
      <c r="D482" s="417"/>
      <c r="E482" s="417"/>
      <c r="F482" s="417"/>
      <c r="G482" s="417"/>
      <c r="H482" s="417"/>
      <c r="I482" s="417"/>
      <c r="J482" s="417"/>
      <c r="K482" s="417"/>
      <c r="L482" s="417"/>
      <c r="M482" s="417"/>
      <c r="N482" s="417"/>
      <c r="O482" s="417"/>
      <c r="P482" s="417"/>
      <c r="Q482" s="417"/>
      <c r="R482" s="417"/>
      <c r="S482" s="417"/>
      <c r="T482" s="417"/>
      <c r="U482" s="417"/>
      <c r="V482" s="417"/>
      <c r="W482" s="417"/>
      <c r="X482" s="417"/>
      <c r="Y482" s="417"/>
      <c r="Z482" s="417"/>
      <c r="AA482" s="417"/>
      <c r="AB482" s="417"/>
      <c r="AC482" s="417"/>
    </row>
    <row r="483" spans="2:29" x14ac:dyDescent="0.25">
      <c r="B483" s="417"/>
      <c r="C483" s="417"/>
      <c r="D483" s="417"/>
      <c r="E483" s="417"/>
      <c r="F483" s="417"/>
      <c r="G483" s="417"/>
      <c r="H483" s="417"/>
      <c r="I483" s="417"/>
      <c r="J483" s="417"/>
      <c r="K483" s="417"/>
      <c r="L483" s="417"/>
      <c r="M483" s="417"/>
      <c r="N483" s="417"/>
      <c r="O483" s="417"/>
      <c r="P483" s="417"/>
      <c r="Q483" s="417"/>
      <c r="R483" s="417"/>
      <c r="S483" s="417"/>
      <c r="T483" s="417"/>
      <c r="U483" s="417"/>
      <c r="V483" s="417"/>
      <c r="W483" s="417"/>
      <c r="X483" s="417"/>
      <c r="Y483" s="417"/>
      <c r="Z483" s="417"/>
      <c r="AA483" s="417"/>
      <c r="AB483" s="417"/>
      <c r="AC483" s="417"/>
    </row>
    <row r="484" spans="2:29" x14ac:dyDescent="0.25">
      <c r="B484" s="417"/>
      <c r="C484" s="417"/>
      <c r="D484" s="417"/>
      <c r="E484" s="417"/>
      <c r="F484" s="417"/>
      <c r="G484" s="417"/>
      <c r="H484" s="417"/>
      <c r="I484" s="417"/>
      <c r="J484" s="417"/>
      <c r="K484" s="417"/>
      <c r="L484" s="417"/>
      <c r="M484" s="417"/>
      <c r="N484" s="417"/>
      <c r="O484" s="417"/>
      <c r="P484" s="417"/>
      <c r="Q484" s="417"/>
      <c r="R484" s="417"/>
      <c r="S484" s="417"/>
      <c r="T484" s="417"/>
      <c r="U484" s="417"/>
      <c r="V484" s="417"/>
      <c r="W484" s="417"/>
      <c r="X484" s="417"/>
      <c r="Y484" s="417"/>
      <c r="Z484" s="417"/>
      <c r="AA484" s="417"/>
      <c r="AB484" s="417"/>
      <c r="AC484" s="417"/>
    </row>
    <row r="485" spans="2:29" x14ac:dyDescent="0.25">
      <c r="B485" s="417"/>
      <c r="C485" s="417"/>
      <c r="D485" s="417"/>
      <c r="E485" s="417"/>
      <c r="F485" s="417"/>
      <c r="G485" s="417"/>
      <c r="H485" s="417"/>
      <c r="I485" s="417"/>
      <c r="J485" s="417"/>
      <c r="K485" s="417"/>
      <c r="L485" s="417"/>
      <c r="M485" s="417"/>
      <c r="N485" s="417"/>
      <c r="O485" s="417"/>
      <c r="P485" s="417"/>
      <c r="Q485" s="417"/>
      <c r="R485" s="417"/>
      <c r="S485" s="417"/>
      <c r="T485" s="417"/>
      <c r="U485" s="417"/>
      <c r="V485" s="417"/>
      <c r="W485" s="417"/>
      <c r="X485" s="417"/>
      <c r="Y485" s="417"/>
      <c r="Z485" s="417"/>
      <c r="AA485" s="417"/>
      <c r="AB485" s="417"/>
      <c r="AC485" s="417"/>
    </row>
    <row r="486" spans="2:29" x14ac:dyDescent="0.25">
      <c r="B486" s="417"/>
      <c r="C486" s="417"/>
      <c r="D486" s="417"/>
      <c r="E486" s="417"/>
      <c r="F486" s="417"/>
      <c r="G486" s="417"/>
      <c r="H486" s="417"/>
      <c r="I486" s="417"/>
      <c r="J486" s="417"/>
      <c r="K486" s="417"/>
      <c r="L486" s="417"/>
      <c r="M486" s="417"/>
      <c r="N486" s="417"/>
      <c r="O486" s="417"/>
      <c r="P486" s="417"/>
      <c r="Q486" s="417"/>
      <c r="R486" s="417"/>
      <c r="S486" s="417"/>
      <c r="T486" s="417"/>
      <c r="U486" s="417"/>
      <c r="V486" s="417"/>
      <c r="W486" s="417"/>
      <c r="X486" s="417"/>
      <c r="Y486" s="417"/>
      <c r="Z486" s="417"/>
      <c r="AA486" s="417"/>
      <c r="AB486" s="417"/>
      <c r="AC486" s="417"/>
    </row>
    <row r="487" spans="2:29" x14ac:dyDescent="0.25">
      <c r="B487" s="417"/>
      <c r="C487" s="417"/>
      <c r="D487" s="417"/>
      <c r="E487" s="417"/>
      <c r="F487" s="417"/>
      <c r="G487" s="417"/>
      <c r="H487" s="417"/>
      <c r="I487" s="417"/>
      <c r="J487" s="417"/>
      <c r="K487" s="417"/>
      <c r="L487" s="417"/>
      <c r="M487" s="417"/>
      <c r="N487" s="417"/>
      <c r="O487" s="417"/>
      <c r="P487" s="417"/>
      <c r="Q487" s="417"/>
      <c r="R487" s="417"/>
      <c r="S487" s="417"/>
      <c r="T487" s="417"/>
      <c r="U487" s="417"/>
      <c r="V487" s="417"/>
      <c r="W487" s="417"/>
      <c r="X487" s="417"/>
      <c r="Y487" s="417"/>
      <c r="Z487" s="417"/>
      <c r="AA487" s="417"/>
      <c r="AB487" s="417"/>
      <c r="AC487" s="417"/>
    </row>
    <row r="488" spans="2:29" x14ac:dyDescent="0.25">
      <c r="B488" s="417"/>
      <c r="C488" s="417"/>
      <c r="D488" s="417"/>
      <c r="E488" s="417"/>
      <c r="F488" s="417"/>
      <c r="G488" s="417"/>
      <c r="H488" s="417"/>
      <c r="I488" s="417"/>
      <c r="J488" s="417"/>
      <c r="K488" s="417"/>
      <c r="L488" s="417"/>
      <c r="M488" s="417"/>
      <c r="N488" s="417"/>
      <c r="O488" s="417"/>
      <c r="P488" s="417"/>
      <c r="Q488" s="417"/>
      <c r="R488" s="417"/>
      <c r="S488" s="417"/>
      <c r="T488" s="417"/>
      <c r="U488" s="417"/>
      <c r="V488" s="417"/>
      <c r="W488" s="417"/>
      <c r="X488" s="417"/>
      <c r="Y488" s="417"/>
      <c r="Z488" s="417"/>
      <c r="AA488" s="417"/>
      <c r="AB488" s="417"/>
      <c r="AC488" s="417"/>
    </row>
    <row r="489" spans="2:29" x14ac:dyDescent="0.25">
      <c r="B489" s="417"/>
      <c r="C489" s="417"/>
      <c r="D489" s="417"/>
      <c r="E489" s="417"/>
      <c r="F489" s="417"/>
      <c r="G489" s="417"/>
      <c r="H489" s="417"/>
      <c r="I489" s="417"/>
      <c r="J489" s="417"/>
      <c r="K489" s="417"/>
      <c r="L489" s="417"/>
      <c r="M489" s="417"/>
      <c r="N489" s="417"/>
      <c r="O489" s="417"/>
      <c r="P489" s="417"/>
      <c r="Q489" s="417"/>
      <c r="R489" s="417"/>
      <c r="S489" s="417"/>
      <c r="T489" s="417"/>
      <c r="U489" s="417"/>
      <c r="V489" s="417"/>
      <c r="W489" s="417"/>
      <c r="X489" s="417"/>
      <c r="Y489" s="417"/>
      <c r="Z489" s="417"/>
      <c r="AA489" s="417"/>
      <c r="AB489" s="417"/>
      <c r="AC489" s="417"/>
    </row>
    <row r="490" spans="2:29" x14ac:dyDescent="0.25"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s="417"/>
      <c r="M490" s="417"/>
      <c r="N490" s="417"/>
      <c r="O490" s="417"/>
      <c r="P490" s="417"/>
      <c r="Q490" s="417"/>
      <c r="R490" s="417"/>
      <c r="S490" s="417"/>
      <c r="T490" s="417"/>
      <c r="U490" s="417"/>
      <c r="V490" s="417"/>
      <c r="W490" s="417"/>
      <c r="X490" s="417"/>
      <c r="Y490" s="417"/>
      <c r="Z490" s="417"/>
      <c r="AA490" s="417"/>
      <c r="AB490" s="417"/>
      <c r="AC490" s="417"/>
    </row>
    <row r="491" spans="2:29" x14ac:dyDescent="0.25">
      <c r="B491" s="417"/>
      <c r="C491" s="417"/>
      <c r="D491" s="417"/>
      <c r="E491" s="417"/>
      <c r="F491" s="417"/>
      <c r="G491" s="417"/>
      <c r="H491" s="417"/>
      <c r="I491" s="417"/>
      <c r="J491" s="417"/>
      <c r="K491" s="417"/>
      <c r="L491" s="417"/>
      <c r="M491" s="417"/>
      <c r="N491" s="417"/>
      <c r="O491" s="417"/>
      <c r="P491" s="417"/>
      <c r="Q491" s="417"/>
      <c r="R491" s="417"/>
      <c r="S491" s="417"/>
      <c r="T491" s="417"/>
      <c r="U491" s="417"/>
      <c r="V491" s="417"/>
      <c r="W491" s="417"/>
      <c r="X491" s="417"/>
      <c r="Y491" s="417"/>
      <c r="Z491" s="417"/>
      <c r="AA491" s="417"/>
      <c r="AB491" s="417"/>
      <c r="AC491" s="417"/>
    </row>
    <row r="492" spans="2:29" x14ac:dyDescent="0.25">
      <c r="B492" s="417"/>
      <c r="C492" s="417"/>
      <c r="D492" s="417"/>
      <c r="E492" s="417"/>
      <c r="F492" s="417"/>
      <c r="G492" s="417"/>
      <c r="H492" s="417"/>
      <c r="I492" s="417"/>
      <c r="J492" s="417"/>
      <c r="K492" s="417"/>
      <c r="L492" s="417"/>
      <c r="M492" s="417"/>
      <c r="N492" s="417"/>
      <c r="O492" s="417"/>
      <c r="P492" s="417"/>
      <c r="Q492" s="417"/>
      <c r="R492" s="417"/>
      <c r="S492" s="417"/>
      <c r="T492" s="417"/>
      <c r="U492" s="417"/>
      <c r="V492" s="417"/>
      <c r="W492" s="417"/>
      <c r="X492" s="417"/>
      <c r="Y492" s="417"/>
      <c r="Z492" s="417"/>
      <c r="AA492" s="417"/>
      <c r="AB492" s="417"/>
      <c r="AC492" s="417"/>
    </row>
    <row r="493" spans="2:29" x14ac:dyDescent="0.25"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s="417"/>
      <c r="M493" s="417"/>
      <c r="N493" s="417"/>
      <c r="O493" s="417"/>
      <c r="P493" s="417"/>
      <c r="Q493" s="417"/>
      <c r="R493" s="417"/>
      <c r="S493" s="417"/>
      <c r="T493" s="417"/>
      <c r="U493" s="417"/>
      <c r="V493" s="417"/>
      <c r="W493" s="417"/>
      <c r="X493" s="417"/>
      <c r="Y493" s="417"/>
      <c r="Z493" s="417"/>
      <c r="AA493" s="417"/>
      <c r="AB493" s="417"/>
      <c r="AC493" s="417"/>
    </row>
    <row r="494" spans="2:29" x14ac:dyDescent="0.25">
      <c r="B494" s="417"/>
      <c r="C494" s="417"/>
      <c r="D494" s="417"/>
      <c r="E494" s="417"/>
      <c r="F494" s="417"/>
      <c r="G494" s="417"/>
      <c r="H494" s="417"/>
      <c r="I494" s="417"/>
      <c r="J494" s="417"/>
      <c r="K494" s="417"/>
      <c r="L494" s="417"/>
      <c r="M494" s="417"/>
      <c r="N494" s="417"/>
      <c r="O494" s="417"/>
      <c r="P494" s="417"/>
      <c r="Q494" s="417"/>
      <c r="R494" s="417"/>
      <c r="S494" s="417"/>
      <c r="T494" s="417"/>
      <c r="U494" s="417"/>
      <c r="V494" s="417"/>
      <c r="W494" s="417"/>
      <c r="X494" s="417"/>
      <c r="Y494" s="417"/>
      <c r="Z494" s="417"/>
      <c r="AA494" s="417"/>
      <c r="AB494" s="417"/>
      <c r="AC494" s="417"/>
    </row>
    <row r="495" spans="2:29" x14ac:dyDescent="0.25">
      <c r="B495" s="417"/>
      <c r="C495" s="417"/>
      <c r="D495" s="417"/>
      <c r="E495" s="417"/>
      <c r="F495" s="417"/>
      <c r="G495" s="417"/>
      <c r="H495" s="417"/>
      <c r="I495" s="417"/>
      <c r="J495" s="417"/>
      <c r="K495" s="417"/>
      <c r="L495" s="417"/>
      <c r="M495" s="417"/>
      <c r="N495" s="417"/>
      <c r="O495" s="417"/>
      <c r="P495" s="417"/>
      <c r="Q495" s="417"/>
      <c r="R495" s="417"/>
      <c r="S495" s="417"/>
      <c r="T495" s="417"/>
      <c r="U495" s="417"/>
      <c r="V495" s="417"/>
      <c r="W495" s="417"/>
      <c r="X495" s="417"/>
      <c r="Y495" s="417"/>
      <c r="Z495" s="417"/>
      <c r="AA495" s="417"/>
      <c r="AB495" s="417"/>
      <c r="AC495" s="417"/>
    </row>
    <row r="496" spans="2:29" x14ac:dyDescent="0.25">
      <c r="B496" s="417"/>
      <c r="C496" s="417"/>
      <c r="D496" s="417"/>
      <c r="E496" s="417"/>
      <c r="F496" s="417"/>
      <c r="G496" s="417"/>
      <c r="H496" s="417"/>
      <c r="I496" s="417"/>
      <c r="J496" s="417"/>
      <c r="K496" s="417"/>
      <c r="L496" s="417"/>
      <c r="M496" s="417"/>
      <c r="N496" s="417"/>
      <c r="O496" s="417"/>
      <c r="P496" s="417"/>
      <c r="Q496" s="417"/>
      <c r="R496" s="417"/>
      <c r="S496" s="417"/>
      <c r="T496" s="417"/>
      <c r="U496" s="417"/>
      <c r="V496" s="417"/>
      <c r="W496" s="417"/>
      <c r="X496" s="417"/>
      <c r="Y496" s="417"/>
      <c r="Z496" s="417"/>
      <c r="AA496" s="417"/>
      <c r="AB496" s="417"/>
      <c r="AC496" s="417"/>
    </row>
    <row r="497" spans="2:29" x14ac:dyDescent="0.25">
      <c r="B497" s="417"/>
      <c r="C497" s="417"/>
      <c r="D497" s="417"/>
      <c r="E497" s="417"/>
      <c r="F497" s="417"/>
      <c r="G497" s="417"/>
      <c r="H497" s="417"/>
      <c r="I497" s="417"/>
      <c r="J497" s="417"/>
      <c r="K497" s="417"/>
      <c r="L497" s="417"/>
      <c r="M497" s="417"/>
      <c r="N497" s="417"/>
      <c r="O497" s="417"/>
      <c r="P497" s="417"/>
      <c r="Q497" s="417"/>
      <c r="R497" s="417"/>
      <c r="S497" s="417"/>
      <c r="T497" s="417"/>
      <c r="U497" s="417"/>
      <c r="V497" s="417"/>
      <c r="W497" s="417"/>
      <c r="X497" s="417"/>
      <c r="Y497" s="417"/>
      <c r="Z497" s="417"/>
      <c r="AA497" s="417"/>
      <c r="AB497" s="417"/>
      <c r="AC497" s="417"/>
    </row>
    <row r="498" spans="2:29" x14ac:dyDescent="0.25">
      <c r="B498" s="417"/>
      <c r="C498" s="417"/>
      <c r="D498" s="417"/>
      <c r="E498" s="417"/>
      <c r="F498" s="417"/>
      <c r="G498" s="417"/>
      <c r="H498" s="417"/>
      <c r="I498" s="417"/>
      <c r="J498" s="417"/>
      <c r="K498" s="417"/>
      <c r="L498" s="417"/>
      <c r="M498" s="417"/>
      <c r="N498" s="417"/>
      <c r="O498" s="417"/>
      <c r="P498" s="417"/>
      <c r="Q498" s="417"/>
      <c r="R498" s="417"/>
      <c r="S498" s="417"/>
      <c r="T498" s="417"/>
      <c r="U498" s="417"/>
      <c r="V498" s="417"/>
      <c r="W498" s="417"/>
      <c r="X498" s="417"/>
      <c r="Y498" s="417"/>
      <c r="Z498" s="417"/>
      <c r="AA498" s="417"/>
      <c r="AB498" s="417"/>
      <c r="AC498" s="417"/>
    </row>
    <row r="499" spans="2:29" x14ac:dyDescent="0.25">
      <c r="B499" s="417"/>
      <c r="C499" s="417"/>
      <c r="D499" s="417"/>
      <c r="E499" s="417"/>
      <c r="F499" s="417"/>
      <c r="G499" s="417"/>
      <c r="H499" s="417"/>
      <c r="I499" s="417"/>
      <c r="J499" s="417"/>
      <c r="K499" s="417"/>
      <c r="L499" s="417"/>
      <c r="M499" s="417"/>
      <c r="N499" s="417"/>
      <c r="O499" s="417"/>
      <c r="P499" s="417"/>
      <c r="Q499" s="417"/>
      <c r="R499" s="417"/>
      <c r="S499" s="417"/>
      <c r="T499" s="417"/>
      <c r="U499" s="417"/>
      <c r="V499" s="417"/>
      <c r="W499" s="417"/>
      <c r="X499" s="417"/>
      <c r="Y499" s="417"/>
      <c r="Z499" s="417"/>
      <c r="AA499" s="417"/>
      <c r="AB499" s="417"/>
      <c r="AC499" s="417"/>
    </row>
    <row r="500" spans="2:29" x14ac:dyDescent="0.25">
      <c r="B500" s="417"/>
      <c r="C500" s="417"/>
      <c r="D500" s="417"/>
      <c r="E500" s="417"/>
      <c r="F500" s="417"/>
      <c r="G500" s="417"/>
      <c r="H500" s="417"/>
      <c r="I500" s="417"/>
      <c r="J500" s="417"/>
      <c r="K500" s="417"/>
      <c r="L500" s="417"/>
      <c r="M500" s="417"/>
      <c r="N500" s="417"/>
      <c r="O500" s="417"/>
      <c r="P500" s="417"/>
      <c r="Q500" s="417"/>
      <c r="R500" s="417"/>
      <c r="S500" s="417"/>
      <c r="T500" s="417"/>
      <c r="U500" s="417"/>
      <c r="V500" s="417"/>
      <c r="W500" s="417"/>
      <c r="X500" s="417"/>
      <c r="Y500" s="417"/>
      <c r="Z500" s="417"/>
      <c r="AA500" s="417"/>
      <c r="AB500" s="417"/>
      <c r="AC500" s="417"/>
    </row>
    <row r="501" spans="2:29" x14ac:dyDescent="0.25">
      <c r="B501" s="417"/>
      <c r="C501" s="417"/>
      <c r="D501" s="417"/>
      <c r="E501" s="417"/>
      <c r="F501" s="417"/>
      <c r="G501" s="417"/>
      <c r="H501" s="417"/>
      <c r="I501" s="417"/>
      <c r="J501" s="417"/>
      <c r="K501" s="417"/>
      <c r="L501" s="417"/>
      <c r="M501" s="417"/>
      <c r="N501" s="417"/>
      <c r="O501" s="417"/>
      <c r="P501" s="417"/>
      <c r="Q501" s="417"/>
      <c r="R501" s="417"/>
      <c r="S501" s="417"/>
      <c r="T501" s="417"/>
      <c r="U501" s="417"/>
      <c r="V501" s="417"/>
      <c r="W501" s="417"/>
      <c r="X501" s="417"/>
      <c r="Y501" s="417"/>
      <c r="Z501" s="417"/>
      <c r="AA501" s="417"/>
      <c r="AB501" s="417"/>
      <c r="AC501" s="417"/>
    </row>
    <row r="502" spans="2:29" x14ac:dyDescent="0.25">
      <c r="B502" s="417"/>
      <c r="C502" s="417"/>
      <c r="D502" s="417"/>
      <c r="E502" s="417"/>
      <c r="F502" s="417"/>
      <c r="G502" s="417"/>
      <c r="H502" s="417"/>
      <c r="I502" s="417"/>
      <c r="J502" s="417"/>
      <c r="K502" s="417"/>
      <c r="L502" s="417"/>
      <c r="M502" s="417"/>
      <c r="N502" s="417"/>
      <c r="O502" s="417"/>
      <c r="P502" s="417"/>
      <c r="Q502" s="417"/>
      <c r="R502" s="417"/>
      <c r="S502" s="417"/>
      <c r="T502" s="417"/>
      <c r="U502" s="417"/>
      <c r="V502" s="417"/>
      <c r="W502" s="417"/>
      <c r="X502" s="417"/>
      <c r="Y502" s="417"/>
      <c r="Z502" s="417"/>
      <c r="AA502" s="417"/>
      <c r="AB502" s="417"/>
      <c r="AC502" s="417"/>
    </row>
    <row r="503" spans="2:29" x14ac:dyDescent="0.25">
      <c r="B503" s="417"/>
      <c r="C503" s="417"/>
      <c r="D503" s="417"/>
      <c r="E503" s="417"/>
      <c r="F503" s="417"/>
      <c r="G503" s="417"/>
      <c r="H503" s="417"/>
      <c r="I503" s="417"/>
      <c r="J503" s="417"/>
      <c r="K503" s="417"/>
      <c r="L503" s="417"/>
      <c r="M503" s="417"/>
      <c r="N503" s="417"/>
      <c r="O503" s="417"/>
      <c r="P503" s="417"/>
      <c r="Q503" s="417"/>
      <c r="R503" s="417"/>
      <c r="S503" s="417"/>
      <c r="T503" s="417"/>
      <c r="U503" s="417"/>
      <c r="V503" s="417"/>
      <c r="W503" s="417"/>
      <c r="X503" s="417"/>
      <c r="Y503" s="417"/>
      <c r="Z503" s="417"/>
      <c r="AA503" s="417"/>
      <c r="AB503" s="417"/>
      <c r="AC503" s="417"/>
    </row>
    <row r="504" spans="2:29" x14ac:dyDescent="0.25">
      <c r="B504" s="417"/>
      <c r="C504" s="417"/>
      <c r="D504" s="417"/>
      <c r="E504" s="417"/>
      <c r="F504" s="417"/>
      <c r="G504" s="417"/>
      <c r="H504" s="417"/>
      <c r="I504" s="417"/>
      <c r="J504" s="417"/>
      <c r="K504" s="417"/>
      <c r="L504" s="417"/>
      <c r="M504" s="417"/>
      <c r="N504" s="417"/>
      <c r="O504" s="417"/>
      <c r="P504" s="417"/>
      <c r="Q504" s="417"/>
      <c r="R504" s="417"/>
      <c r="S504" s="417"/>
      <c r="T504" s="417"/>
      <c r="U504" s="417"/>
      <c r="V504" s="417"/>
      <c r="W504" s="417"/>
      <c r="X504" s="417"/>
      <c r="Y504" s="417"/>
      <c r="Z504" s="417"/>
      <c r="AA504" s="417"/>
      <c r="AB504" s="417"/>
      <c r="AC504" s="417"/>
    </row>
    <row r="505" spans="2:29" x14ac:dyDescent="0.25">
      <c r="B505" s="417"/>
      <c r="C505" s="417"/>
      <c r="D505" s="417"/>
      <c r="E505" s="417"/>
      <c r="F505" s="417"/>
      <c r="G505" s="417"/>
      <c r="H505" s="417"/>
      <c r="I505" s="417"/>
      <c r="J505" s="417"/>
      <c r="K505" s="417"/>
      <c r="L505" s="417"/>
      <c r="M505" s="417"/>
      <c r="N505" s="417"/>
      <c r="O505" s="417"/>
      <c r="P505" s="417"/>
      <c r="Q505" s="417"/>
      <c r="R505" s="417"/>
      <c r="S505" s="417"/>
      <c r="T505" s="417"/>
      <c r="U505" s="417"/>
      <c r="V505" s="417"/>
      <c r="W505" s="417"/>
      <c r="X505" s="417"/>
      <c r="Y505" s="417"/>
      <c r="Z505" s="417"/>
      <c r="AA505" s="417"/>
      <c r="AB505" s="417"/>
      <c r="AC505" s="417"/>
    </row>
    <row r="506" spans="2:29" x14ac:dyDescent="0.25">
      <c r="B506" s="417"/>
      <c r="C506" s="417"/>
      <c r="D506" s="417"/>
      <c r="E506" s="417"/>
      <c r="F506" s="417"/>
      <c r="G506" s="417"/>
      <c r="H506" s="417"/>
      <c r="I506" s="417"/>
      <c r="J506" s="417"/>
      <c r="K506" s="417"/>
      <c r="L506" s="417"/>
      <c r="M506" s="417"/>
      <c r="N506" s="417"/>
      <c r="O506" s="417"/>
      <c r="P506" s="417"/>
      <c r="Q506" s="417"/>
      <c r="R506" s="417"/>
      <c r="S506" s="417"/>
      <c r="T506" s="417"/>
      <c r="U506" s="417"/>
      <c r="V506" s="417"/>
      <c r="W506" s="417"/>
      <c r="X506" s="417"/>
      <c r="Y506" s="417"/>
      <c r="Z506" s="417"/>
      <c r="AA506" s="417"/>
      <c r="AB506" s="417"/>
      <c r="AC506" s="417"/>
    </row>
    <row r="507" spans="2:29" x14ac:dyDescent="0.25">
      <c r="B507" s="417"/>
      <c r="C507" s="417"/>
      <c r="D507" s="417"/>
      <c r="E507" s="417"/>
      <c r="F507" s="417"/>
      <c r="G507" s="417"/>
      <c r="H507" s="417"/>
      <c r="I507" s="417"/>
      <c r="J507" s="417"/>
      <c r="K507" s="417"/>
      <c r="L507" s="417"/>
      <c r="M507" s="417"/>
      <c r="N507" s="417"/>
      <c r="O507" s="417"/>
      <c r="P507" s="417"/>
      <c r="Q507" s="417"/>
      <c r="R507" s="417"/>
      <c r="S507" s="417"/>
      <c r="T507" s="417"/>
      <c r="U507" s="417"/>
      <c r="V507" s="417"/>
      <c r="W507" s="417"/>
      <c r="X507" s="417"/>
      <c r="Y507" s="417"/>
      <c r="Z507" s="417"/>
      <c r="AA507" s="417"/>
      <c r="AB507" s="417"/>
      <c r="AC507" s="417"/>
    </row>
    <row r="508" spans="2:29" x14ac:dyDescent="0.25">
      <c r="B508" s="417"/>
      <c r="C508" s="417"/>
      <c r="D508" s="417"/>
      <c r="E508" s="417"/>
      <c r="F508" s="417"/>
      <c r="G508" s="417"/>
      <c r="H508" s="417"/>
      <c r="I508" s="417"/>
      <c r="J508" s="417"/>
      <c r="K508" s="417"/>
      <c r="L508" s="417"/>
      <c r="M508" s="417"/>
      <c r="N508" s="417"/>
      <c r="O508" s="417"/>
      <c r="P508" s="417"/>
      <c r="Q508" s="417"/>
      <c r="R508" s="417"/>
      <c r="S508" s="417"/>
      <c r="T508" s="417"/>
      <c r="U508" s="417"/>
      <c r="V508" s="417"/>
      <c r="W508" s="417"/>
      <c r="X508" s="417"/>
      <c r="Y508" s="417"/>
      <c r="Z508" s="417"/>
      <c r="AA508" s="417"/>
      <c r="AB508" s="417"/>
      <c r="AC508" s="417"/>
    </row>
    <row r="509" spans="2:29" x14ac:dyDescent="0.25">
      <c r="B509" s="417"/>
      <c r="C509" s="417"/>
      <c r="D509" s="417"/>
      <c r="E509" s="417"/>
      <c r="F509" s="417"/>
      <c r="G509" s="417"/>
      <c r="H509" s="417"/>
      <c r="I509" s="417"/>
      <c r="J509" s="417"/>
      <c r="K509" s="417"/>
      <c r="L509" s="417"/>
      <c r="M509" s="417"/>
      <c r="N509" s="417"/>
      <c r="O509" s="417"/>
      <c r="P509" s="417"/>
      <c r="Q509" s="417"/>
      <c r="R509" s="417"/>
      <c r="S509" s="417"/>
      <c r="T509" s="417"/>
      <c r="U509" s="417"/>
      <c r="V509" s="417"/>
      <c r="W509" s="417"/>
      <c r="X509" s="417"/>
      <c r="Y509" s="417"/>
      <c r="Z509" s="417"/>
      <c r="AA509" s="417"/>
      <c r="AB509" s="417"/>
      <c r="AC509" s="417"/>
    </row>
    <row r="510" spans="2:29" x14ac:dyDescent="0.25">
      <c r="B510" s="417"/>
      <c r="C510" s="417"/>
      <c r="D510" s="417"/>
      <c r="E510" s="417"/>
      <c r="F510" s="417"/>
      <c r="G510" s="417"/>
      <c r="H510" s="417"/>
      <c r="I510" s="417"/>
      <c r="J510" s="417"/>
      <c r="K510" s="417"/>
      <c r="L510" s="417"/>
      <c r="M510" s="417"/>
      <c r="N510" s="417"/>
      <c r="O510" s="417"/>
      <c r="P510" s="417"/>
      <c r="Q510" s="417"/>
      <c r="R510" s="417"/>
      <c r="S510" s="417"/>
      <c r="T510" s="417"/>
      <c r="U510" s="417"/>
      <c r="V510" s="417"/>
      <c r="W510" s="417"/>
      <c r="X510" s="417"/>
      <c r="Y510" s="417"/>
      <c r="Z510" s="417"/>
      <c r="AA510" s="417"/>
      <c r="AB510" s="417"/>
      <c r="AC510" s="417"/>
    </row>
    <row r="511" spans="2:29" x14ac:dyDescent="0.25">
      <c r="B511" s="417"/>
      <c r="C511" s="417"/>
      <c r="D511" s="417"/>
      <c r="E511" s="417"/>
      <c r="F511" s="417"/>
      <c r="G511" s="417"/>
      <c r="H511" s="417"/>
      <c r="I511" s="417"/>
      <c r="J511" s="417"/>
      <c r="K511" s="417"/>
      <c r="L511" s="417"/>
      <c r="M511" s="417"/>
      <c r="N511" s="417"/>
      <c r="O511" s="417"/>
      <c r="P511" s="417"/>
      <c r="Q511" s="417"/>
      <c r="R511" s="417"/>
      <c r="S511" s="417"/>
      <c r="T511" s="417"/>
      <c r="U511" s="417"/>
      <c r="V511" s="417"/>
      <c r="W511" s="417"/>
      <c r="X511" s="417"/>
      <c r="Y511" s="417"/>
      <c r="Z511" s="417"/>
      <c r="AA511" s="417"/>
      <c r="AB511" s="417"/>
      <c r="AC511" s="417"/>
    </row>
    <row r="512" spans="2:29" x14ac:dyDescent="0.25">
      <c r="B512" s="417"/>
      <c r="C512" s="417"/>
      <c r="D512" s="417"/>
      <c r="E512" s="417"/>
      <c r="F512" s="417"/>
      <c r="G512" s="417"/>
      <c r="H512" s="417"/>
      <c r="I512" s="417"/>
      <c r="J512" s="417"/>
      <c r="K512" s="417"/>
      <c r="L512" s="417"/>
      <c r="M512" s="417"/>
      <c r="N512" s="417"/>
      <c r="O512" s="417"/>
      <c r="P512" s="417"/>
      <c r="Q512" s="417"/>
      <c r="R512" s="417"/>
      <c r="S512" s="417"/>
      <c r="T512" s="417"/>
      <c r="U512" s="417"/>
      <c r="V512" s="417"/>
      <c r="W512" s="417"/>
      <c r="X512" s="417"/>
      <c r="Y512" s="417"/>
      <c r="Z512" s="417"/>
      <c r="AA512" s="417"/>
      <c r="AB512" s="417"/>
      <c r="AC512" s="417"/>
    </row>
    <row r="513" spans="2:29" x14ac:dyDescent="0.25">
      <c r="B513" s="417"/>
      <c r="C513" s="417"/>
      <c r="D513" s="417"/>
      <c r="E513" s="417"/>
      <c r="F513" s="417"/>
      <c r="G513" s="417"/>
      <c r="H513" s="417"/>
      <c r="I513" s="417"/>
      <c r="J513" s="417"/>
      <c r="K513" s="417"/>
      <c r="L513" s="417"/>
      <c r="M513" s="417"/>
      <c r="N513" s="417"/>
      <c r="O513" s="417"/>
      <c r="P513" s="417"/>
      <c r="Q513" s="417"/>
      <c r="R513" s="417"/>
      <c r="S513" s="417"/>
      <c r="T513" s="417"/>
      <c r="U513" s="417"/>
      <c r="V513" s="417"/>
      <c r="W513" s="417"/>
      <c r="X513" s="417"/>
      <c r="Y513" s="417"/>
      <c r="Z513" s="417"/>
      <c r="AA513" s="417"/>
      <c r="AB513" s="417"/>
      <c r="AC513" s="417"/>
    </row>
    <row r="514" spans="2:29" x14ac:dyDescent="0.25">
      <c r="B514" s="417"/>
      <c r="C514" s="417"/>
      <c r="D514" s="417"/>
      <c r="E514" s="417"/>
      <c r="F514" s="417"/>
      <c r="G514" s="417"/>
      <c r="H514" s="417"/>
      <c r="I514" s="417"/>
      <c r="J514" s="417"/>
      <c r="K514" s="417"/>
      <c r="L514" s="417"/>
      <c r="M514" s="417"/>
      <c r="N514" s="417"/>
      <c r="O514" s="417"/>
      <c r="P514" s="417"/>
      <c r="Q514" s="417"/>
      <c r="R514" s="417"/>
      <c r="S514" s="417"/>
      <c r="T514" s="417"/>
      <c r="U514" s="417"/>
      <c r="V514" s="417"/>
      <c r="W514" s="417"/>
      <c r="X514" s="417"/>
      <c r="Y514" s="417"/>
      <c r="Z514" s="417"/>
      <c r="AA514" s="417"/>
      <c r="AB514" s="417"/>
      <c r="AC514" s="417"/>
    </row>
    <row r="515" spans="2:29" x14ac:dyDescent="0.25">
      <c r="B515" s="417"/>
      <c r="C515" s="417"/>
      <c r="D515" s="417"/>
      <c r="E515" s="417"/>
      <c r="F515" s="417"/>
      <c r="G515" s="417"/>
      <c r="H515" s="417"/>
      <c r="I515" s="417"/>
      <c r="J515" s="417"/>
      <c r="K515" s="417"/>
      <c r="L515" s="417"/>
      <c r="M515" s="417"/>
      <c r="N515" s="417"/>
      <c r="O515" s="417"/>
      <c r="P515" s="417"/>
      <c r="Q515" s="417"/>
      <c r="R515" s="417"/>
      <c r="S515" s="417"/>
      <c r="T515" s="417"/>
      <c r="U515" s="417"/>
      <c r="V515" s="417"/>
      <c r="W515" s="417"/>
      <c r="X515" s="417"/>
      <c r="Y515" s="417"/>
      <c r="Z515" s="417"/>
      <c r="AA515" s="417"/>
      <c r="AB515" s="417"/>
      <c r="AC515" s="417"/>
    </row>
    <row r="516" spans="2:29" x14ac:dyDescent="0.25">
      <c r="B516" s="417"/>
      <c r="C516" s="417"/>
      <c r="D516" s="417"/>
      <c r="E516" s="417"/>
      <c r="F516" s="417"/>
      <c r="G516" s="417"/>
      <c r="H516" s="417"/>
      <c r="I516" s="417"/>
      <c r="J516" s="417"/>
      <c r="K516" s="417"/>
      <c r="L516" s="417"/>
      <c r="M516" s="417"/>
      <c r="N516" s="417"/>
      <c r="O516" s="417"/>
      <c r="P516" s="417"/>
      <c r="Q516" s="417"/>
      <c r="R516" s="417"/>
      <c r="S516" s="417"/>
      <c r="T516" s="417"/>
      <c r="U516" s="417"/>
      <c r="V516" s="417"/>
      <c r="W516" s="417"/>
      <c r="X516" s="417"/>
      <c r="Y516" s="417"/>
      <c r="Z516" s="417"/>
      <c r="AA516" s="417"/>
      <c r="AB516" s="417"/>
      <c r="AC516" s="417"/>
    </row>
    <row r="517" spans="2:29" x14ac:dyDescent="0.25">
      <c r="B517" s="417"/>
      <c r="C517" s="417"/>
      <c r="D517" s="417"/>
      <c r="E517" s="417"/>
      <c r="F517" s="417"/>
      <c r="G517" s="417"/>
      <c r="H517" s="417"/>
      <c r="I517" s="417"/>
      <c r="J517" s="417"/>
      <c r="K517" s="417"/>
      <c r="L517" s="417"/>
      <c r="M517" s="417"/>
      <c r="N517" s="417"/>
      <c r="O517" s="417"/>
      <c r="P517" s="417"/>
      <c r="Q517" s="417"/>
      <c r="R517" s="417"/>
      <c r="S517" s="417"/>
      <c r="T517" s="417"/>
      <c r="U517" s="417"/>
      <c r="V517" s="417"/>
      <c r="W517" s="417"/>
      <c r="X517" s="417"/>
      <c r="Y517" s="417"/>
      <c r="Z517" s="417"/>
      <c r="AA517" s="417"/>
      <c r="AB517" s="417"/>
      <c r="AC517" s="417"/>
    </row>
    <row r="518" spans="2:29" x14ac:dyDescent="0.25">
      <c r="B518" s="417"/>
      <c r="C518" s="417"/>
      <c r="D518" s="417"/>
      <c r="E518" s="417"/>
      <c r="F518" s="417"/>
      <c r="G518" s="417"/>
      <c r="H518" s="417"/>
      <c r="I518" s="417"/>
      <c r="J518" s="417"/>
      <c r="K518" s="417"/>
      <c r="L518" s="417"/>
      <c r="M518" s="417"/>
      <c r="N518" s="417"/>
      <c r="O518" s="417"/>
      <c r="P518" s="417"/>
      <c r="Q518" s="417"/>
      <c r="R518" s="417"/>
      <c r="S518" s="417"/>
      <c r="T518" s="417"/>
      <c r="U518" s="417"/>
      <c r="V518" s="417"/>
      <c r="W518" s="417"/>
      <c r="X518" s="417"/>
      <c r="Y518" s="417"/>
      <c r="Z518" s="417"/>
      <c r="AA518" s="417"/>
      <c r="AB518" s="417"/>
      <c r="AC518" s="417"/>
    </row>
    <row r="519" spans="2:29" x14ac:dyDescent="0.25">
      <c r="B519" s="417"/>
      <c r="C519" s="417"/>
      <c r="D519" s="417"/>
      <c r="E519" s="417"/>
      <c r="F519" s="417"/>
      <c r="G519" s="417"/>
      <c r="H519" s="417"/>
      <c r="I519" s="417"/>
      <c r="J519" s="417"/>
      <c r="K519" s="417"/>
      <c r="L519" s="417"/>
      <c r="M519" s="417"/>
      <c r="N519" s="417"/>
      <c r="O519" s="417"/>
      <c r="P519" s="417"/>
      <c r="Q519" s="417"/>
      <c r="R519" s="417"/>
      <c r="S519" s="417"/>
      <c r="T519" s="417"/>
      <c r="U519" s="417"/>
      <c r="V519" s="417"/>
      <c r="W519" s="417"/>
      <c r="X519" s="417"/>
      <c r="Y519" s="417"/>
      <c r="Z519" s="417"/>
      <c r="AA519" s="417"/>
      <c r="AB519" s="417"/>
      <c r="AC519" s="417"/>
    </row>
    <row r="520" spans="2:29" x14ac:dyDescent="0.25">
      <c r="B520" s="417"/>
      <c r="C520" s="417"/>
      <c r="D520" s="417"/>
      <c r="E520" s="417"/>
      <c r="F520" s="417"/>
      <c r="G520" s="417"/>
      <c r="H520" s="417"/>
      <c r="I520" s="417"/>
      <c r="J520" s="417"/>
      <c r="K520" s="417"/>
      <c r="L520" s="417"/>
      <c r="M520" s="417"/>
      <c r="N520" s="417"/>
      <c r="O520" s="417"/>
      <c r="P520" s="417"/>
      <c r="Q520" s="417"/>
      <c r="R520" s="417"/>
      <c r="S520" s="417"/>
      <c r="T520" s="417"/>
      <c r="U520" s="417"/>
      <c r="V520" s="417"/>
      <c r="W520" s="417"/>
      <c r="X520" s="417"/>
      <c r="Y520" s="417"/>
      <c r="Z520" s="417"/>
      <c r="AA520" s="417"/>
      <c r="AB520" s="417"/>
      <c r="AC520" s="417"/>
    </row>
    <row r="521" spans="2:29" x14ac:dyDescent="0.25">
      <c r="B521" s="417"/>
      <c r="C521" s="417"/>
      <c r="D521" s="417"/>
      <c r="E521" s="417"/>
      <c r="F521" s="417"/>
      <c r="G521" s="417"/>
      <c r="H521" s="417"/>
      <c r="I521" s="417"/>
      <c r="J521" s="417"/>
      <c r="K521" s="417"/>
      <c r="L521" s="417"/>
      <c r="M521" s="417"/>
      <c r="N521" s="417"/>
      <c r="O521" s="417"/>
      <c r="P521" s="417"/>
      <c r="Q521" s="417"/>
      <c r="R521" s="417"/>
      <c r="S521" s="417"/>
      <c r="T521" s="417"/>
      <c r="U521" s="417"/>
      <c r="V521" s="417"/>
      <c r="W521" s="417"/>
      <c r="X521" s="417"/>
      <c r="Y521" s="417"/>
      <c r="Z521" s="417"/>
      <c r="AA521" s="417"/>
      <c r="AB521" s="417"/>
      <c r="AC521" s="417"/>
    </row>
    <row r="522" spans="2:29" x14ac:dyDescent="0.25">
      <c r="B522" s="417"/>
      <c r="C522" s="417"/>
      <c r="D522" s="417"/>
      <c r="E522" s="417"/>
      <c r="F522" s="417"/>
      <c r="G522" s="417"/>
      <c r="H522" s="417"/>
      <c r="I522" s="417"/>
      <c r="J522" s="417"/>
      <c r="K522" s="417"/>
      <c r="L522" s="417"/>
      <c r="M522" s="417"/>
      <c r="N522" s="417"/>
      <c r="O522" s="417"/>
      <c r="P522" s="417"/>
      <c r="Q522" s="417"/>
      <c r="R522" s="417"/>
      <c r="S522" s="417"/>
      <c r="T522" s="417"/>
      <c r="U522" s="417"/>
      <c r="V522" s="417"/>
      <c r="W522" s="417"/>
      <c r="X522" s="417"/>
      <c r="Y522" s="417"/>
      <c r="Z522" s="417"/>
      <c r="AA522" s="417"/>
      <c r="AB522" s="417"/>
      <c r="AC522" s="417"/>
    </row>
    <row r="523" spans="2:29" x14ac:dyDescent="0.25">
      <c r="B523" s="417"/>
      <c r="C523" s="417"/>
      <c r="D523" s="417"/>
      <c r="E523" s="417"/>
      <c r="F523" s="417"/>
      <c r="G523" s="417"/>
      <c r="H523" s="417"/>
      <c r="I523" s="417"/>
      <c r="J523" s="417"/>
      <c r="K523" s="417"/>
      <c r="L523" s="417"/>
      <c r="M523" s="417"/>
      <c r="N523" s="417"/>
      <c r="O523" s="417"/>
      <c r="P523" s="417"/>
      <c r="Q523" s="417"/>
      <c r="R523" s="417"/>
      <c r="S523" s="417"/>
      <c r="T523" s="417"/>
      <c r="U523" s="417"/>
      <c r="V523" s="417"/>
      <c r="W523" s="417"/>
      <c r="X523" s="417"/>
      <c r="Y523" s="417"/>
      <c r="Z523" s="417"/>
      <c r="AA523" s="417"/>
      <c r="AB523" s="417"/>
      <c r="AC523" s="417"/>
    </row>
    <row r="524" spans="2:29" x14ac:dyDescent="0.25">
      <c r="B524" s="417"/>
      <c r="C524" s="417"/>
      <c r="D524" s="417"/>
      <c r="E524" s="417"/>
      <c r="F524" s="417"/>
      <c r="G524" s="417"/>
      <c r="H524" s="417"/>
      <c r="I524" s="417"/>
      <c r="J524" s="417"/>
      <c r="K524" s="417"/>
      <c r="L524" s="417"/>
      <c r="M524" s="417"/>
      <c r="N524" s="417"/>
      <c r="O524" s="417"/>
      <c r="P524" s="417"/>
      <c r="Q524" s="417"/>
      <c r="R524" s="417"/>
      <c r="S524" s="417"/>
      <c r="T524" s="417"/>
      <c r="U524" s="417"/>
      <c r="V524" s="417"/>
      <c r="W524" s="417"/>
      <c r="X524" s="417"/>
      <c r="Y524" s="417"/>
      <c r="Z524" s="417"/>
      <c r="AA524" s="417"/>
      <c r="AB524" s="417"/>
      <c r="AC524" s="417"/>
    </row>
    <row r="525" spans="2:29" x14ac:dyDescent="0.25">
      <c r="B525" s="417"/>
      <c r="C525" s="417"/>
      <c r="D525" s="417"/>
      <c r="E525" s="417"/>
      <c r="F525" s="417"/>
      <c r="G525" s="417"/>
      <c r="H525" s="417"/>
      <c r="I525" s="417"/>
      <c r="J525" s="417"/>
      <c r="K525" s="417"/>
      <c r="L525" s="417"/>
      <c r="M525" s="417"/>
      <c r="N525" s="417"/>
      <c r="O525" s="417"/>
      <c r="P525" s="417"/>
      <c r="Q525" s="417"/>
      <c r="R525" s="417"/>
      <c r="S525" s="417"/>
      <c r="T525" s="417"/>
      <c r="U525" s="417"/>
      <c r="V525" s="417"/>
      <c r="W525" s="417"/>
      <c r="X525" s="417"/>
      <c r="Y525" s="417"/>
      <c r="Z525" s="417"/>
      <c r="AA525" s="417"/>
      <c r="AB525" s="417"/>
      <c r="AC525" s="417"/>
    </row>
    <row r="526" spans="2:29" x14ac:dyDescent="0.25">
      <c r="B526" s="417"/>
      <c r="C526" s="417"/>
      <c r="D526" s="417"/>
      <c r="E526" s="417"/>
      <c r="F526" s="417"/>
      <c r="G526" s="417"/>
      <c r="H526" s="417"/>
      <c r="I526" s="417"/>
      <c r="J526" s="417"/>
      <c r="K526" s="417"/>
      <c r="L526" s="417"/>
      <c r="M526" s="417"/>
      <c r="N526" s="417"/>
      <c r="O526" s="417"/>
      <c r="P526" s="417"/>
      <c r="Q526" s="417"/>
      <c r="R526" s="417"/>
      <c r="S526" s="417"/>
      <c r="T526" s="417"/>
      <c r="U526" s="417"/>
      <c r="V526" s="417"/>
      <c r="W526" s="417"/>
      <c r="X526" s="417"/>
      <c r="Y526" s="417"/>
      <c r="Z526" s="417"/>
      <c r="AA526" s="417"/>
      <c r="AB526" s="417"/>
      <c r="AC526" s="417"/>
    </row>
    <row r="527" spans="2:29" x14ac:dyDescent="0.25">
      <c r="B527" s="417"/>
      <c r="C527" s="417"/>
      <c r="D527" s="417"/>
      <c r="E527" s="417"/>
      <c r="F527" s="417"/>
      <c r="G527" s="417"/>
      <c r="H527" s="417"/>
      <c r="I527" s="417"/>
      <c r="J527" s="417"/>
      <c r="K527" s="417"/>
      <c r="L527" s="417"/>
      <c r="M527" s="417"/>
      <c r="N527" s="417"/>
      <c r="O527" s="417"/>
      <c r="P527" s="417"/>
      <c r="Q527" s="417"/>
      <c r="R527" s="417"/>
      <c r="S527" s="417"/>
      <c r="T527" s="417"/>
      <c r="U527" s="417"/>
      <c r="V527" s="417"/>
      <c r="W527" s="417"/>
      <c r="X527" s="417"/>
      <c r="Y527" s="417"/>
      <c r="Z527" s="417"/>
      <c r="AA527" s="417"/>
      <c r="AB527" s="417"/>
      <c r="AC527" s="417"/>
    </row>
    <row r="528" spans="2:29" x14ac:dyDescent="0.25">
      <c r="B528" s="417"/>
      <c r="C528" s="417"/>
      <c r="D528" s="417"/>
      <c r="E528" s="417"/>
      <c r="F528" s="417"/>
      <c r="G528" s="417"/>
      <c r="H528" s="417"/>
      <c r="I528" s="417"/>
      <c r="J528" s="417"/>
      <c r="K528" s="417"/>
      <c r="L528" s="417"/>
      <c r="M528" s="417"/>
      <c r="N528" s="417"/>
      <c r="O528" s="417"/>
      <c r="P528" s="417"/>
      <c r="Q528" s="417"/>
      <c r="R528" s="417"/>
      <c r="S528" s="417"/>
      <c r="T528" s="417"/>
      <c r="U528" s="417"/>
      <c r="V528" s="417"/>
      <c r="W528" s="417"/>
      <c r="X528" s="417"/>
      <c r="Y528" s="417"/>
      <c r="Z528" s="417"/>
      <c r="AA528" s="417"/>
      <c r="AB528" s="417"/>
      <c r="AC528" s="417"/>
    </row>
    <row r="529" spans="2:29" x14ac:dyDescent="0.25">
      <c r="B529" s="417"/>
      <c r="C529" s="417"/>
      <c r="D529" s="417"/>
      <c r="E529" s="417"/>
      <c r="F529" s="417"/>
      <c r="G529" s="417"/>
      <c r="H529" s="417"/>
      <c r="I529" s="417"/>
      <c r="J529" s="417"/>
      <c r="K529" s="417"/>
      <c r="L529" s="417"/>
      <c r="M529" s="417"/>
      <c r="N529" s="417"/>
      <c r="O529" s="417"/>
      <c r="P529" s="417"/>
      <c r="Q529" s="417"/>
      <c r="R529" s="417"/>
      <c r="S529" s="417"/>
      <c r="T529" s="417"/>
      <c r="U529" s="417"/>
      <c r="V529" s="417"/>
      <c r="W529" s="417"/>
      <c r="X529" s="417"/>
      <c r="Y529" s="417"/>
      <c r="Z529" s="417"/>
      <c r="AA529" s="417"/>
      <c r="AB529" s="417"/>
      <c r="AC529" s="417"/>
    </row>
    <row r="530" spans="2:29" x14ac:dyDescent="0.25">
      <c r="B530" s="417"/>
      <c r="C530" s="417"/>
      <c r="D530" s="417"/>
      <c r="E530" s="417"/>
      <c r="F530" s="417"/>
      <c r="G530" s="417"/>
      <c r="H530" s="417"/>
      <c r="I530" s="417"/>
      <c r="J530" s="417"/>
      <c r="K530" s="417"/>
      <c r="L530" s="417"/>
      <c r="M530" s="417"/>
      <c r="N530" s="417"/>
      <c r="O530" s="417"/>
      <c r="P530" s="417"/>
      <c r="Q530" s="417"/>
      <c r="R530" s="417"/>
      <c r="S530" s="417"/>
      <c r="T530" s="417"/>
      <c r="U530" s="417"/>
      <c r="V530" s="417"/>
      <c r="W530" s="417"/>
      <c r="X530" s="417"/>
      <c r="Y530" s="417"/>
      <c r="Z530" s="417"/>
      <c r="AA530" s="417"/>
      <c r="AB530" s="417"/>
      <c r="AC530" s="417"/>
    </row>
    <row r="531" spans="2:29" x14ac:dyDescent="0.25">
      <c r="B531" s="417"/>
      <c r="C531" s="417"/>
      <c r="D531" s="417"/>
      <c r="E531" s="417"/>
      <c r="F531" s="417"/>
      <c r="G531" s="417"/>
      <c r="H531" s="417"/>
      <c r="I531" s="417"/>
      <c r="J531" s="417"/>
      <c r="K531" s="417"/>
      <c r="L531" s="417"/>
      <c r="M531" s="417"/>
      <c r="N531" s="417"/>
      <c r="O531" s="417"/>
      <c r="P531" s="417"/>
      <c r="Q531" s="417"/>
      <c r="R531" s="417"/>
      <c r="S531" s="417"/>
      <c r="T531" s="417"/>
      <c r="U531" s="417"/>
      <c r="V531" s="417"/>
      <c r="W531" s="417"/>
      <c r="X531" s="417"/>
      <c r="Y531" s="417"/>
      <c r="Z531" s="417"/>
      <c r="AA531" s="417"/>
      <c r="AB531" s="417"/>
      <c r="AC531" s="417"/>
    </row>
    <row r="532" spans="2:29" x14ac:dyDescent="0.25">
      <c r="B532" s="417"/>
      <c r="C532" s="417"/>
      <c r="D532" s="417"/>
      <c r="E532" s="417"/>
      <c r="F532" s="417"/>
      <c r="G532" s="417"/>
      <c r="H532" s="417"/>
      <c r="I532" s="417"/>
      <c r="J532" s="417"/>
      <c r="K532" s="417"/>
      <c r="L532" s="417"/>
      <c r="M532" s="417"/>
      <c r="N532" s="417"/>
      <c r="O532" s="417"/>
      <c r="P532" s="417"/>
      <c r="Q532" s="417"/>
      <c r="R532" s="417"/>
      <c r="S532" s="417"/>
      <c r="T532" s="417"/>
      <c r="U532" s="417"/>
      <c r="V532" s="417"/>
      <c r="W532" s="417"/>
      <c r="X532" s="417"/>
      <c r="Y532" s="417"/>
      <c r="Z532" s="417"/>
      <c r="AA532" s="417"/>
      <c r="AB532" s="417"/>
      <c r="AC532" s="417"/>
    </row>
    <row r="533" spans="2:29" x14ac:dyDescent="0.25">
      <c r="B533" s="417"/>
      <c r="C533" s="417"/>
      <c r="D533" s="417"/>
      <c r="E533" s="417"/>
      <c r="F533" s="417"/>
      <c r="G533" s="417"/>
      <c r="H533" s="417"/>
      <c r="I533" s="417"/>
      <c r="J533" s="417"/>
      <c r="K533" s="417"/>
      <c r="L533" s="417"/>
      <c r="M533" s="417"/>
      <c r="N533" s="417"/>
      <c r="O533" s="417"/>
      <c r="P533" s="417"/>
      <c r="Q533" s="417"/>
      <c r="R533" s="417"/>
      <c r="S533" s="417"/>
      <c r="T533" s="417"/>
      <c r="U533" s="417"/>
      <c r="V533" s="417"/>
      <c r="W533" s="417"/>
      <c r="X533" s="417"/>
      <c r="Y533" s="417"/>
      <c r="Z533" s="417"/>
      <c r="AA533" s="417"/>
      <c r="AB533" s="417"/>
      <c r="AC533" s="417"/>
    </row>
    <row r="534" spans="2:29" x14ac:dyDescent="0.25">
      <c r="B534" s="417"/>
      <c r="C534" s="417"/>
      <c r="D534" s="417"/>
      <c r="E534" s="417"/>
      <c r="F534" s="417"/>
      <c r="G534" s="417"/>
      <c r="H534" s="417"/>
      <c r="I534" s="417"/>
      <c r="J534" s="417"/>
      <c r="K534" s="417"/>
      <c r="L534" s="417"/>
      <c r="M534" s="417"/>
      <c r="N534" s="417"/>
      <c r="O534" s="417"/>
      <c r="P534" s="417"/>
      <c r="Q534" s="417"/>
      <c r="R534" s="417"/>
      <c r="S534" s="417"/>
      <c r="T534" s="417"/>
      <c r="U534" s="417"/>
      <c r="V534" s="417"/>
      <c r="W534" s="417"/>
      <c r="X534" s="417"/>
      <c r="Y534" s="417"/>
      <c r="Z534" s="417"/>
      <c r="AA534" s="417"/>
      <c r="AB534" s="417"/>
      <c r="AC534" s="417"/>
    </row>
    <row r="535" spans="2:29" x14ac:dyDescent="0.25">
      <c r="B535" s="417"/>
      <c r="C535" s="417"/>
      <c r="D535" s="417"/>
      <c r="E535" s="417"/>
      <c r="F535" s="417"/>
      <c r="G535" s="417"/>
      <c r="H535" s="417"/>
      <c r="I535" s="417"/>
      <c r="J535" s="417"/>
      <c r="K535" s="417"/>
      <c r="L535" s="417"/>
      <c r="M535" s="417"/>
      <c r="N535" s="417"/>
      <c r="O535" s="417"/>
      <c r="P535" s="417"/>
      <c r="Q535" s="417"/>
      <c r="R535" s="417"/>
      <c r="S535" s="417"/>
      <c r="T535" s="417"/>
      <c r="U535" s="417"/>
      <c r="V535" s="417"/>
      <c r="W535" s="417"/>
      <c r="X535" s="417"/>
      <c r="Y535" s="417"/>
      <c r="Z535" s="417"/>
      <c r="AA535" s="417"/>
      <c r="AB535" s="417"/>
      <c r="AC535" s="417"/>
    </row>
    <row r="536" spans="2:29" x14ac:dyDescent="0.25">
      <c r="B536" s="417"/>
      <c r="C536" s="417"/>
      <c r="D536" s="417"/>
      <c r="E536" s="417"/>
      <c r="F536" s="417"/>
      <c r="G536" s="417"/>
      <c r="H536" s="417"/>
      <c r="I536" s="417"/>
      <c r="J536" s="417"/>
      <c r="K536" s="417"/>
      <c r="L536" s="417"/>
      <c r="M536" s="417"/>
      <c r="N536" s="417"/>
      <c r="O536" s="417"/>
      <c r="P536" s="417"/>
      <c r="Q536" s="417"/>
      <c r="R536" s="417"/>
      <c r="S536" s="417"/>
      <c r="T536" s="417"/>
      <c r="U536" s="417"/>
      <c r="V536" s="417"/>
      <c r="W536" s="417"/>
      <c r="X536" s="417"/>
      <c r="Y536" s="417"/>
      <c r="Z536" s="417"/>
      <c r="AA536" s="417"/>
      <c r="AB536" s="417"/>
      <c r="AC536" s="417"/>
    </row>
    <row r="537" spans="2:29" x14ac:dyDescent="0.25">
      <c r="B537" s="417"/>
      <c r="C537" s="417"/>
      <c r="D537" s="417"/>
      <c r="E537" s="417"/>
      <c r="F537" s="417"/>
      <c r="G537" s="417"/>
      <c r="H537" s="417"/>
      <c r="I537" s="417"/>
      <c r="J537" s="417"/>
      <c r="K537" s="417"/>
      <c r="L537" s="417"/>
      <c r="M537" s="417"/>
      <c r="N537" s="417"/>
      <c r="O537" s="417"/>
      <c r="P537" s="417"/>
      <c r="Q537" s="417"/>
      <c r="R537" s="417"/>
      <c r="S537" s="417"/>
      <c r="T537" s="417"/>
      <c r="U537" s="417"/>
      <c r="V537" s="417"/>
      <c r="W537" s="417"/>
      <c r="X537" s="417"/>
      <c r="Y537" s="417"/>
      <c r="Z537" s="417"/>
      <c r="AA537" s="417"/>
      <c r="AB537" s="417"/>
      <c r="AC537" s="417"/>
    </row>
    <row r="538" spans="2:29" x14ac:dyDescent="0.25">
      <c r="B538" s="417"/>
      <c r="C538" s="417"/>
      <c r="D538" s="417"/>
      <c r="E538" s="417"/>
      <c r="F538" s="417"/>
      <c r="G538" s="417"/>
      <c r="H538" s="417"/>
      <c r="I538" s="417"/>
      <c r="J538" s="417"/>
      <c r="K538" s="417"/>
      <c r="L538" s="417"/>
      <c r="M538" s="417"/>
      <c r="N538" s="417"/>
      <c r="O538" s="417"/>
      <c r="P538" s="417"/>
      <c r="Q538" s="417"/>
      <c r="R538" s="417"/>
      <c r="S538" s="417"/>
      <c r="T538" s="417"/>
      <c r="U538" s="417"/>
      <c r="V538" s="417"/>
      <c r="W538" s="417"/>
      <c r="X538" s="417"/>
      <c r="Y538" s="417"/>
      <c r="Z538" s="417"/>
      <c r="AA538" s="417"/>
      <c r="AB538" s="417"/>
      <c r="AC538" s="417"/>
    </row>
    <row r="539" spans="2:29" x14ac:dyDescent="0.25">
      <c r="B539" s="417"/>
      <c r="C539" s="417"/>
      <c r="D539" s="417"/>
      <c r="E539" s="417"/>
      <c r="F539" s="417"/>
      <c r="G539" s="417"/>
      <c r="H539" s="417"/>
      <c r="I539" s="417"/>
      <c r="J539" s="417"/>
      <c r="K539" s="417"/>
      <c r="L539" s="417"/>
      <c r="M539" s="417"/>
      <c r="N539" s="417"/>
      <c r="O539" s="417"/>
      <c r="P539" s="417"/>
      <c r="Q539" s="417"/>
      <c r="R539" s="417"/>
      <c r="S539" s="417"/>
      <c r="T539" s="417"/>
      <c r="U539" s="417"/>
      <c r="V539" s="417"/>
      <c r="W539" s="417"/>
      <c r="X539" s="417"/>
      <c r="Y539" s="417"/>
      <c r="Z539" s="417"/>
      <c r="AA539" s="417"/>
      <c r="AB539" s="417"/>
      <c r="AC539" s="417"/>
    </row>
    <row r="540" spans="2:29" x14ac:dyDescent="0.25">
      <c r="B540" s="417"/>
      <c r="C540" s="417"/>
      <c r="D540" s="417"/>
      <c r="E540" s="417"/>
      <c r="F540" s="417"/>
      <c r="G540" s="417"/>
      <c r="H540" s="417"/>
      <c r="I540" s="417"/>
      <c r="J540" s="417"/>
      <c r="K540" s="417"/>
      <c r="L540" s="417"/>
      <c r="M540" s="417"/>
      <c r="N540" s="417"/>
      <c r="O540" s="417"/>
      <c r="P540" s="417"/>
      <c r="Q540" s="417"/>
      <c r="R540" s="417"/>
      <c r="S540" s="417"/>
      <c r="T540" s="417"/>
      <c r="U540" s="417"/>
      <c r="V540" s="417"/>
      <c r="W540" s="417"/>
      <c r="X540" s="417"/>
      <c r="Y540" s="417"/>
      <c r="Z540" s="417"/>
      <c r="AA540" s="417"/>
      <c r="AB540" s="417"/>
      <c r="AC540" s="417"/>
    </row>
    <row r="541" spans="2:29" x14ac:dyDescent="0.25">
      <c r="B541" s="417"/>
      <c r="C541" s="417"/>
      <c r="D541" s="417"/>
      <c r="E541" s="417"/>
      <c r="F541" s="417"/>
      <c r="G541" s="417"/>
      <c r="H541" s="417"/>
      <c r="I541" s="417"/>
      <c r="J541" s="417"/>
      <c r="K541" s="417"/>
      <c r="L541" s="417"/>
      <c r="M541" s="417"/>
      <c r="N541" s="417"/>
      <c r="O541" s="417"/>
      <c r="P541" s="417"/>
      <c r="Q541" s="417"/>
      <c r="R541" s="417"/>
      <c r="S541" s="417"/>
      <c r="T541" s="417"/>
      <c r="U541" s="417"/>
      <c r="V541" s="417"/>
      <c r="W541" s="417"/>
      <c r="X541" s="417"/>
      <c r="Y541" s="417"/>
      <c r="Z541" s="417"/>
      <c r="AA541" s="417"/>
      <c r="AB541" s="417"/>
      <c r="AC541" s="417"/>
    </row>
    <row r="542" spans="2:29" x14ac:dyDescent="0.25">
      <c r="B542" s="417"/>
      <c r="C542" s="417"/>
      <c r="D542" s="417"/>
      <c r="E542" s="417"/>
      <c r="F542" s="417"/>
      <c r="G542" s="417"/>
      <c r="H542" s="417"/>
      <c r="I542" s="417"/>
      <c r="J542" s="417"/>
      <c r="K542" s="417"/>
      <c r="L542" s="417"/>
      <c r="M542" s="417"/>
      <c r="N542" s="417"/>
      <c r="O542" s="417"/>
      <c r="P542" s="417"/>
      <c r="Q542" s="417"/>
      <c r="R542" s="417"/>
      <c r="S542" s="417"/>
      <c r="T542" s="417"/>
      <c r="U542" s="417"/>
      <c r="V542" s="417"/>
      <c r="W542" s="417"/>
      <c r="X542" s="417"/>
      <c r="Y542" s="417"/>
      <c r="Z542" s="417"/>
      <c r="AA542" s="417"/>
      <c r="AB542" s="417"/>
      <c r="AC542" s="417"/>
    </row>
    <row r="543" spans="2:29" x14ac:dyDescent="0.25">
      <c r="B543" s="417"/>
      <c r="C543" s="417"/>
      <c r="D543" s="417"/>
      <c r="E543" s="417"/>
      <c r="F543" s="417"/>
      <c r="G543" s="417"/>
      <c r="H543" s="417"/>
      <c r="I543" s="417"/>
      <c r="J543" s="417"/>
      <c r="K543" s="417"/>
      <c r="L543" s="417"/>
      <c r="M543" s="417"/>
      <c r="N543" s="417"/>
      <c r="O543" s="417"/>
      <c r="P543" s="417"/>
      <c r="Q543" s="417"/>
      <c r="R543" s="417"/>
      <c r="S543" s="417"/>
      <c r="T543" s="417"/>
      <c r="U543" s="417"/>
      <c r="V543" s="417"/>
      <c r="W543" s="417"/>
      <c r="X543" s="417"/>
      <c r="Y543" s="417"/>
      <c r="Z543" s="417"/>
      <c r="AA543" s="417"/>
      <c r="AB543" s="417"/>
      <c r="AC543" s="417"/>
    </row>
    <row r="544" spans="2:29" x14ac:dyDescent="0.25">
      <c r="B544" s="417"/>
      <c r="C544" s="417"/>
      <c r="D544" s="417"/>
      <c r="E544" s="417"/>
      <c r="F544" s="417"/>
      <c r="G544" s="417"/>
      <c r="H544" s="417"/>
      <c r="I544" s="417"/>
      <c r="J544" s="417"/>
      <c r="K544" s="417"/>
      <c r="L544" s="417"/>
      <c r="M544" s="417"/>
      <c r="N544" s="417"/>
      <c r="O544" s="417"/>
      <c r="P544" s="417"/>
      <c r="Q544" s="417"/>
      <c r="R544" s="417"/>
      <c r="S544" s="417"/>
      <c r="T544" s="417"/>
      <c r="U544" s="417"/>
      <c r="V544" s="417"/>
      <c r="W544" s="417"/>
      <c r="X544" s="417"/>
      <c r="Y544" s="417"/>
      <c r="Z544" s="417"/>
      <c r="AA544" s="417"/>
      <c r="AB544" s="417"/>
      <c r="AC544" s="417"/>
    </row>
    <row r="545" spans="2:29" x14ac:dyDescent="0.25">
      <c r="B545" s="417"/>
      <c r="C545" s="417"/>
      <c r="D545" s="417"/>
      <c r="E545" s="417"/>
      <c r="F545" s="417"/>
      <c r="G545" s="417"/>
      <c r="H545" s="417"/>
      <c r="I545" s="417"/>
      <c r="J545" s="417"/>
      <c r="K545" s="417"/>
      <c r="L545" s="417"/>
      <c r="M545" s="417"/>
      <c r="N545" s="417"/>
      <c r="O545" s="417"/>
      <c r="P545" s="417"/>
      <c r="Q545" s="417"/>
      <c r="R545" s="417"/>
      <c r="S545" s="417"/>
      <c r="T545" s="417"/>
      <c r="U545" s="417"/>
      <c r="V545" s="417"/>
      <c r="W545" s="417"/>
      <c r="X545" s="417"/>
      <c r="Y545" s="417"/>
      <c r="Z545" s="417"/>
      <c r="AA545" s="417"/>
      <c r="AB545" s="417"/>
      <c r="AC545" s="417"/>
    </row>
    <row r="546" spans="2:29" x14ac:dyDescent="0.25">
      <c r="B546" s="417"/>
      <c r="C546" s="417"/>
      <c r="D546" s="417"/>
      <c r="E546" s="417"/>
      <c r="F546" s="417"/>
      <c r="G546" s="417"/>
      <c r="H546" s="417"/>
      <c r="I546" s="417"/>
      <c r="J546" s="417"/>
      <c r="K546" s="417"/>
      <c r="L546" s="417"/>
      <c r="M546" s="417"/>
      <c r="N546" s="417"/>
      <c r="O546" s="417"/>
      <c r="P546" s="417"/>
      <c r="Q546" s="417"/>
      <c r="R546" s="417"/>
      <c r="S546" s="417"/>
      <c r="T546" s="417"/>
      <c r="U546" s="417"/>
      <c r="V546" s="417"/>
      <c r="W546" s="417"/>
      <c r="X546" s="417"/>
      <c r="Y546" s="417"/>
      <c r="Z546" s="417"/>
      <c r="AA546" s="417"/>
      <c r="AB546" s="417"/>
      <c r="AC546" s="417"/>
    </row>
    <row r="547" spans="2:29" x14ac:dyDescent="0.25">
      <c r="B547" s="417"/>
      <c r="C547" s="417"/>
      <c r="D547" s="417"/>
      <c r="E547" s="417"/>
      <c r="F547" s="417"/>
      <c r="G547" s="417"/>
      <c r="H547" s="417"/>
      <c r="I547" s="417"/>
      <c r="J547" s="417"/>
      <c r="K547" s="417"/>
      <c r="L547" s="417"/>
      <c r="M547" s="417"/>
      <c r="N547" s="417"/>
      <c r="O547" s="417"/>
      <c r="P547" s="417"/>
      <c r="Q547" s="417"/>
      <c r="R547" s="417"/>
      <c r="S547" s="417"/>
      <c r="T547" s="417"/>
      <c r="U547" s="417"/>
      <c r="V547" s="417"/>
      <c r="W547" s="417"/>
      <c r="X547" s="417"/>
      <c r="Y547" s="417"/>
      <c r="Z547" s="417"/>
      <c r="AA547" s="417"/>
      <c r="AB547" s="417"/>
      <c r="AC547" s="417"/>
    </row>
    <row r="548" spans="2:29" x14ac:dyDescent="0.25">
      <c r="B548" s="417"/>
      <c r="C548" s="417"/>
      <c r="D548" s="417"/>
      <c r="E548" s="417"/>
      <c r="F548" s="417"/>
      <c r="G548" s="417"/>
      <c r="H548" s="417"/>
      <c r="I548" s="417"/>
      <c r="J548" s="417"/>
      <c r="K548" s="417"/>
      <c r="L548" s="417"/>
      <c r="M548" s="417"/>
      <c r="N548" s="417"/>
      <c r="O548" s="417"/>
      <c r="P548" s="417"/>
      <c r="Q548" s="417"/>
      <c r="R548" s="417"/>
      <c r="S548" s="417"/>
      <c r="T548" s="417"/>
      <c r="U548" s="417"/>
      <c r="V548" s="417"/>
      <c r="W548" s="417"/>
      <c r="X548" s="417"/>
      <c r="Y548" s="417"/>
      <c r="Z548" s="417"/>
      <c r="AA548" s="417"/>
      <c r="AB548" s="417"/>
      <c r="AC548" s="417"/>
    </row>
    <row r="549" spans="2:29" x14ac:dyDescent="0.25">
      <c r="B549" s="417"/>
      <c r="C549" s="417"/>
      <c r="D549" s="417"/>
      <c r="E549" s="417"/>
      <c r="F549" s="417"/>
      <c r="G549" s="417"/>
      <c r="H549" s="417"/>
      <c r="I549" s="417"/>
      <c r="J549" s="417"/>
      <c r="K549" s="417"/>
      <c r="L549" s="417"/>
      <c r="M549" s="417"/>
      <c r="N549" s="417"/>
      <c r="O549" s="417"/>
      <c r="P549" s="417"/>
      <c r="Q549" s="417"/>
      <c r="R549" s="417"/>
      <c r="S549" s="417"/>
      <c r="T549" s="417"/>
      <c r="U549" s="417"/>
      <c r="V549" s="417"/>
      <c r="W549" s="417"/>
      <c r="X549" s="417"/>
      <c r="Y549" s="417"/>
      <c r="Z549" s="417"/>
      <c r="AA549" s="417"/>
      <c r="AB549" s="417"/>
      <c r="AC549" s="417"/>
    </row>
    <row r="550" spans="2:29" x14ac:dyDescent="0.25">
      <c r="B550" s="417"/>
      <c r="C550" s="417"/>
      <c r="D550" s="417"/>
      <c r="E550" s="417"/>
      <c r="F550" s="417"/>
      <c r="G550" s="417"/>
      <c r="H550" s="417"/>
      <c r="I550" s="417"/>
      <c r="J550" s="417"/>
      <c r="K550" s="417"/>
      <c r="L550" s="417"/>
      <c r="M550" s="417"/>
      <c r="N550" s="417"/>
      <c r="O550" s="417"/>
      <c r="P550" s="417"/>
      <c r="Q550" s="417"/>
      <c r="R550" s="417"/>
      <c r="S550" s="417"/>
      <c r="T550" s="417"/>
      <c r="U550" s="417"/>
      <c r="V550" s="417"/>
      <c r="W550" s="417"/>
      <c r="X550" s="417"/>
      <c r="Y550" s="417"/>
      <c r="Z550" s="417"/>
      <c r="AA550" s="417"/>
      <c r="AB550" s="417"/>
      <c r="AC550" s="417"/>
    </row>
    <row r="551" spans="2:29" x14ac:dyDescent="0.25">
      <c r="B551" s="417"/>
      <c r="C551" s="417"/>
      <c r="D551" s="417"/>
      <c r="E551" s="417"/>
      <c r="F551" s="417"/>
      <c r="G551" s="417"/>
      <c r="H551" s="417"/>
      <c r="I551" s="417"/>
      <c r="J551" s="417"/>
      <c r="K551" s="417"/>
      <c r="L551" s="417"/>
      <c r="M551" s="417"/>
      <c r="N551" s="417"/>
      <c r="O551" s="417"/>
      <c r="P551" s="417"/>
      <c r="Q551" s="417"/>
      <c r="R551" s="417"/>
      <c r="S551" s="417"/>
      <c r="T551" s="417"/>
      <c r="U551" s="417"/>
      <c r="V551" s="417"/>
      <c r="W551" s="417"/>
      <c r="X551" s="417"/>
      <c r="Y551" s="417"/>
      <c r="Z551" s="417"/>
      <c r="AA551" s="417"/>
      <c r="AB551" s="417"/>
      <c r="AC551" s="417"/>
    </row>
    <row r="552" spans="2:29" x14ac:dyDescent="0.25">
      <c r="B552" s="417"/>
      <c r="C552" s="417"/>
      <c r="D552" s="417"/>
      <c r="E552" s="417"/>
      <c r="F552" s="417"/>
      <c r="G552" s="417"/>
      <c r="H552" s="417"/>
      <c r="I552" s="417"/>
      <c r="J552" s="417"/>
      <c r="K552" s="417"/>
      <c r="L552" s="417"/>
      <c r="M552" s="417"/>
      <c r="N552" s="417"/>
      <c r="O552" s="417"/>
      <c r="P552" s="417"/>
      <c r="Q552" s="417"/>
      <c r="R552" s="417"/>
      <c r="S552" s="417"/>
      <c r="T552" s="417"/>
      <c r="U552" s="417"/>
      <c r="V552" s="417"/>
      <c r="W552" s="417"/>
      <c r="X552" s="417"/>
      <c r="Y552" s="417"/>
      <c r="Z552" s="417"/>
      <c r="AA552" s="417"/>
      <c r="AB552" s="417"/>
      <c r="AC552" s="417"/>
    </row>
    <row r="553" spans="2:29" x14ac:dyDescent="0.25">
      <c r="B553" s="417"/>
      <c r="C553" s="417"/>
      <c r="D553" s="417"/>
      <c r="E553" s="417"/>
      <c r="F553" s="417"/>
      <c r="G553" s="417"/>
      <c r="H553" s="417"/>
      <c r="I553" s="417"/>
      <c r="J553" s="417"/>
      <c r="K553" s="417"/>
      <c r="L553" s="417"/>
      <c r="M553" s="417"/>
      <c r="N553" s="417"/>
      <c r="O553" s="417"/>
      <c r="P553" s="417"/>
      <c r="Q553" s="417"/>
      <c r="R553" s="417"/>
      <c r="S553" s="417"/>
      <c r="T553" s="417"/>
      <c r="U553" s="417"/>
      <c r="V553" s="417"/>
      <c r="W553" s="417"/>
      <c r="X553" s="417"/>
      <c r="Y553" s="417"/>
      <c r="Z553" s="417"/>
      <c r="AA553" s="417"/>
      <c r="AB553" s="417"/>
      <c r="AC553" s="417"/>
    </row>
    <row r="554" spans="2:29" x14ac:dyDescent="0.25">
      <c r="B554" s="417"/>
      <c r="C554" s="417"/>
      <c r="D554" s="417"/>
      <c r="E554" s="417"/>
      <c r="F554" s="417"/>
      <c r="G554" s="417"/>
      <c r="H554" s="417"/>
      <c r="I554" s="417"/>
      <c r="J554" s="417"/>
      <c r="K554" s="417"/>
      <c r="L554" s="417"/>
      <c r="M554" s="417"/>
      <c r="N554" s="417"/>
      <c r="O554" s="417"/>
      <c r="P554" s="417"/>
      <c r="Q554" s="417"/>
      <c r="R554" s="417"/>
      <c r="S554" s="417"/>
      <c r="T554" s="417"/>
      <c r="U554" s="417"/>
      <c r="V554" s="417"/>
      <c r="W554" s="417"/>
      <c r="X554" s="417"/>
      <c r="Y554" s="417"/>
      <c r="Z554" s="417"/>
      <c r="AA554" s="417"/>
      <c r="AB554" s="417"/>
      <c r="AC554" s="417"/>
    </row>
    <row r="555" spans="2:29" x14ac:dyDescent="0.25">
      <c r="B555" s="417"/>
      <c r="C555" s="417"/>
      <c r="D555" s="417"/>
      <c r="E555" s="417"/>
      <c r="F555" s="417"/>
      <c r="G555" s="417"/>
      <c r="H555" s="417"/>
      <c r="I555" s="417"/>
      <c r="J555" s="417"/>
      <c r="K555" s="417"/>
      <c r="L555" s="417"/>
      <c r="M555" s="417"/>
      <c r="N555" s="417"/>
      <c r="O555" s="417"/>
      <c r="P555" s="417"/>
      <c r="Q555" s="417"/>
      <c r="R555" s="417"/>
      <c r="S555" s="417"/>
      <c r="T555" s="417"/>
      <c r="U555" s="417"/>
      <c r="V555" s="417"/>
      <c r="W555" s="417"/>
      <c r="X555" s="417"/>
      <c r="Y555" s="417"/>
      <c r="Z555" s="417"/>
      <c r="AA555" s="417"/>
      <c r="AB555" s="417"/>
      <c r="AC555" s="417"/>
    </row>
    <row r="556" spans="2:29" x14ac:dyDescent="0.25">
      <c r="B556" s="417"/>
      <c r="C556" s="417"/>
      <c r="D556" s="417"/>
      <c r="E556" s="417"/>
      <c r="F556" s="417"/>
      <c r="G556" s="417"/>
      <c r="H556" s="417"/>
      <c r="I556" s="417"/>
      <c r="J556" s="417"/>
      <c r="K556" s="417"/>
      <c r="L556" s="417"/>
      <c r="M556" s="417"/>
      <c r="N556" s="417"/>
      <c r="O556" s="417"/>
      <c r="P556" s="417"/>
      <c r="Q556" s="417"/>
      <c r="R556" s="417"/>
      <c r="S556" s="417"/>
      <c r="T556" s="417"/>
      <c r="U556" s="417"/>
      <c r="V556" s="417"/>
      <c r="W556" s="417"/>
      <c r="X556" s="417"/>
      <c r="Y556" s="417"/>
      <c r="Z556" s="417"/>
      <c r="AA556" s="417"/>
      <c r="AB556" s="417"/>
      <c r="AC556" s="417"/>
    </row>
    <row r="557" spans="2:29" x14ac:dyDescent="0.25">
      <c r="B557" s="417"/>
      <c r="C557" s="417"/>
      <c r="D557" s="417"/>
      <c r="E557" s="417"/>
      <c r="F557" s="417"/>
      <c r="G557" s="417"/>
      <c r="H557" s="417"/>
      <c r="I557" s="417"/>
      <c r="J557" s="417"/>
      <c r="K557" s="417"/>
      <c r="L557" s="417"/>
      <c r="M557" s="417"/>
      <c r="N557" s="417"/>
      <c r="O557" s="417"/>
      <c r="P557" s="417"/>
      <c r="Q557" s="417"/>
      <c r="R557" s="417"/>
      <c r="S557" s="417"/>
      <c r="T557" s="417"/>
      <c r="U557" s="417"/>
      <c r="V557" s="417"/>
      <c r="W557" s="417"/>
      <c r="X557" s="417"/>
      <c r="Y557" s="417"/>
      <c r="Z557" s="417"/>
      <c r="AA557" s="417"/>
      <c r="AB557" s="417"/>
      <c r="AC557" s="417"/>
    </row>
    <row r="558" spans="2:29" x14ac:dyDescent="0.25">
      <c r="B558" s="417"/>
      <c r="C558" s="417"/>
      <c r="D558" s="417"/>
      <c r="E558" s="417"/>
      <c r="F558" s="417"/>
      <c r="G558" s="417"/>
      <c r="H558" s="417"/>
      <c r="I558" s="417"/>
      <c r="J558" s="417"/>
      <c r="K558" s="417"/>
      <c r="L558" s="417"/>
      <c r="M558" s="417"/>
      <c r="N558" s="417"/>
      <c r="O558" s="417"/>
      <c r="P558" s="417"/>
      <c r="Q558" s="417"/>
      <c r="R558" s="417"/>
      <c r="S558" s="417"/>
      <c r="T558" s="417"/>
      <c r="U558" s="417"/>
      <c r="V558" s="417"/>
      <c r="W558" s="417"/>
      <c r="X558" s="417"/>
      <c r="Y558" s="417"/>
      <c r="Z558" s="417"/>
      <c r="AA558" s="417"/>
      <c r="AB558" s="417"/>
      <c r="AC558" s="417"/>
    </row>
    <row r="559" spans="2:29" x14ac:dyDescent="0.25">
      <c r="B559" s="417"/>
      <c r="C559" s="417"/>
      <c r="D559" s="417"/>
      <c r="E559" s="417"/>
      <c r="F559" s="417"/>
      <c r="G559" s="417"/>
      <c r="H559" s="417"/>
      <c r="I559" s="417"/>
      <c r="J559" s="417"/>
      <c r="K559" s="417"/>
      <c r="L559" s="417"/>
      <c r="M559" s="417"/>
      <c r="N559" s="417"/>
      <c r="O559" s="417"/>
      <c r="P559" s="417"/>
      <c r="Q559" s="417"/>
      <c r="R559" s="417"/>
      <c r="S559" s="417"/>
      <c r="T559" s="417"/>
      <c r="U559" s="417"/>
      <c r="V559" s="417"/>
      <c r="W559" s="417"/>
      <c r="X559" s="417"/>
      <c r="Y559" s="417"/>
      <c r="Z559" s="417"/>
      <c r="AA559" s="417"/>
      <c r="AB559" s="417"/>
      <c r="AC559" s="417"/>
    </row>
    <row r="560" spans="2:29" x14ac:dyDescent="0.25">
      <c r="B560" s="417"/>
      <c r="C560" s="417"/>
      <c r="D560" s="417"/>
      <c r="E560" s="417"/>
      <c r="F560" s="417"/>
      <c r="G560" s="417"/>
      <c r="H560" s="417"/>
      <c r="I560" s="417"/>
      <c r="J560" s="417"/>
      <c r="K560" s="417"/>
      <c r="L560" s="417"/>
      <c r="M560" s="417"/>
      <c r="N560" s="417"/>
      <c r="O560" s="417"/>
      <c r="P560" s="417"/>
      <c r="Q560" s="417"/>
      <c r="R560" s="417"/>
      <c r="S560" s="417"/>
      <c r="T560" s="417"/>
      <c r="U560" s="417"/>
      <c r="V560" s="417"/>
      <c r="W560" s="417"/>
      <c r="X560" s="417"/>
      <c r="Y560" s="417"/>
      <c r="Z560" s="417"/>
      <c r="AA560" s="417"/>
      <c r="AB560" s="417"/>
      <c r="AC560" s="417"/>
    </row>
    <row r="561" spans="2:29" x14ac:dyDescent="0.25">
      <c r="B561" s="417"/>
      <c r="C561" s="417"/>
      <c r="D561" s="417"/>
      <c r="E561" s="417"/>
      <c r="F561" s="417"/>
      <c r="G561" s="417"/>
      <c r="H561" s="417"/>
      <c r="I561" s="417"/>
      <c r="J561" s="417"/>
      <c r="K561" s="417"/>
      <c r="L561" s="417"/>
      <c r="M561" s="417"/>
      <c r="N561" s="417"/>
      <c r="O561" s="417"/>
      <c r="P561" s="417"/>
      <c r="Q561" s="417"/>
      <c r="R561" s="417"/>
      <c r="S561" s="417"/>
      <c r="T561" s="417"/>
      <c r="U561" s="417"/>
      <c r="V561" s="417"/>
      <c r="W561" s="417"/>
      <c r="X561" s="417"/>
      <c r="Y561" s="417"/>
      <c r="Z561" s="417"/>
      <c r="AA561" s="417"/>
      <c r="AB561" s="417"/>
      <c r="AC561" s="417"/>
    </row>
    <row r="562" spans="2:29" x14ac:dyDescent="0.25">
      <c r="B562" s="417"/>
      <c r="C562" s="417"/>
      <c r="D562" s="417"/>
      <c r="E562" s="417"/>
      <c r="F562" s="417"/>
      <c r="G562" s="417"/>
      <c r="H562" s="417"/>
      <c r="I562" s="417"/>
      <c r="J562" s="417"/>
      <c r="K562" s="417"/>
      <c r="L562" s="417"/>
      <c r="M562" s="417"/>
      <c r="N562" s="417"/>
      <c r="O562" s="417"/>
      <c r="P562" s="417"/>
      <c r="Q562" s="417"/>
      <c r="R562" s="417"/>
      <c r="S562" s="417"/>
      <c r="T562" s="417"/>
      <c r="U562" s="417"/>
      <c r="V562" s="417"/>
      <c r="W562" s="417"/>
      <c r="X562" s="417"/>
      <c r="Y562" s="417"/>
      <c r="Z562" s="417"/>
      <c r="AA562" s="417"/>
      <c r="AB562" s="417"/>
      <c r="AC562" s="417"/>
    </row>
    <row r="563" spans="2:29" x14ac:dyDescent="0.25">
      <c r="B563" s="417"/>
      <c r="C563" s="417"/>
      <c r="D563" s="417"/>
      <c r="E563" s="417"/>
      <c r="F563" s="417"/>
      <c r="G563" s="417"/>
      <c r="H563" s="417"/>
      <c r="I563" s="417"/>
      <c r="J563" s="417"/>
      <c r="K563" s="417"/>
      <c r="L563" s="417"/>
      <c r="M563" s="417"/>
      <c r="N563" s="417"/>
      <c r="O563" s="417"/>
      <c r="P563" s="417"/>
      <c r="Q563" s="417"/>
      <c r="R563" s="417"/>
      <c r="S563" s="417"/>
      <c r="T563" s="417"/>
      <c r="U563" s="417"/>
      <c r="V563" s="417"/>
      <c r="W563" s="417"/>
      <c r="X563" s="417"/>
      <c r="Y563" s="417"/>
      <c r="Z563" s="417"/>
      <c r="AA563" s="417"/>
      <c r="AB563" s="417"/>
      <c r="AC563" s="417"/>
    </row>
    <row r="564" spans="2:29" x14ac:dyDescent="0.25">
      <c r="B564" s="417"/>
      <c r="C564" s="417"/>
      <c r="D564" s="417"/>
      <c r="E564" s="417"/>
      <c r="F564" s="417"/>
      <c r="G564" s="417"/>
      <c r="H564" s="417"/>
      <c r="I564" s="417"/>
      <c r="J564" s="417"/>
      <c r="K564" s="417"/>
      <c r="L564" s="417"/>
      <c r="M564" s="417"/>
      <c r="N564" s="417"/>
      <c r="O564" s="417"/>
      <c r="P564" s="417"/>
      <c r="Q564" s="417"/>
      <c r="R564" s="417"/>
      <c r="S564" s="417"/>
      <c r="T564" s="417"/>
      <c r="U564" s="417"/>
      <c r="V564" s="417"/>
      <c r="W564" s="417"/>
      <c r="X564" s="417"/>
      <c r="Y564" s="417"/>
      <c r="Z564" s="417"/>
      <c r="AA564" s="417"/>
      <c r="AB564" s="417"/>
      <c r="AC564" s="417"/>
    </row>
    <row r="565" spans="2:29" x14ac:dyDescent="0.25">
      <c r="B565" s="417"/>
      <c r="C565" s="417"/>
      <c r="D565" s="417"/>
      <c r="E565" s="417"/>
      <c r="F565" s="417"/>
      <c r="G565" s="417"/>
      <c r="H565" s="417"/>
      <c r="I565" s="417"/>
      <c r="J565" s="417"/>
      <c r="K565" s="417"/>
      <c r="L565" s="417"/>
      <c r="M565" s="417"/>
      <c r="N565" s="417"/>
      <c r="O565" s="417"/>
      <c r="P565" s="417"/>
      <c r="Q565" s="417"/>
      <c r="R565" s="417"/>
      <c r="S565" s="417"/>
      <c r="T565" s="417"/>
      <c r="U565" s="417"/>
      <c r="V565" s="417"/>
      <c r="W565" s="417"/>
      <c r="X565" s="417"/>
      <c r="Y565" s="417"/>
      <c r="Z565" s="417"/>
      <c r="AA565" s="417"/>
      <c r="AB565" s="417"/>
      <c r="AC565" s="417"/>
    </row>
    <row r="566" spans="2:29" x14ac:dyDescent="0.25">
      <c r="B566" s="417"/>
      <c r="C566" s="417"/>
      <c r="D566" s="417"/>
      <c r="E566" s="417"/>
      <c r="F566" s="417"/>
      <c r="G566" s="417"/>
      <c r="H566" s="417"/>
      <c r="I566" s="417"/>
      <c r="J566" s="417"/>
      <c r="K566" s="417"/>
      <c r="L566" s="417"/>
      <c r="M566" s="417"/>
      <c r="N566" s="417"/>
      <c r="O566" s="417"/>
      <c r="P566" s="417"/>
      <c r="Q566" s="417"/>
      <c r="R566" s="417"/>
      <c r="S566" s="417"/>
      <c r="T566" s="417"/>
      <c r="U566" s="417"/>
      <c r="V566" s="417"/>
      <c r="W566" s="417"/>
      <c r="X566" s="417"/>
      <c r="Y566" s="417"/>
      <c r="Z566" s="417"/>
      <c r="AA566" s="417"/>
      <c r="AB566" s="417"/>
      <c r="AC566" s="417"/>
    </row>
    <row r="567" spans="2:29" x14ac:dyDescent="0.25">
      <c r="B567" s="417"/>
      <c r="C567" s="417"/>
      <c r="D567" s="417"/>
      <c r="E567" s="417"/>
      <c r="F567" s="417"/>
      <c r="G567" s="417"/>
      <c r="H567" s="417"/>
      <c r="I567" s="417"/>
      <c r="J567" s="417"/>
      <c r="K567" s="417"/>
      <c r="L567" s="417"/>
      <c r="M567" s="417"/>
      <c r="N567" s="417"/>
      <c r="O567" s="417"/>
      <c r="P567" s="417"/>
      <c r="Q567" s="417"/>
      <c r="R567" s="417"/>
      <c r="S567" s="417"/>
      <c r="T567" s="417"/>
      <c r="U567" s="417"/>
      <c r="V567" s="417"/>
      <c r="W567" s="417"/>
      <c r="X567" s="417"/>
      <c r="Y567" s="417"/>
      <c r="Z567" s="417"/>
      <c r="AA567" s="417"/>
      <c r="AB567" s="417"/>
      <c r="AC567" s="417"/>
    </row>
    <row r="568" spans="2:29" x14ac:dyDescent="0.25">
      <c r="B568" s="417"/>
      <c r="C568" s="417"/>
      <c r="D568" s="417"/>
      <c r="E568" s="417"/>
      <c r="F568" s="417"/>
      <c r="G568" s="417"/>
      <c r="H568" s="417"/>
      <c r="I568" s="417"/>
      <c r="J568" s="417"/>
      <c r="K568" s="417"/>
      <c r="L568" s="417"/>
      <c r="M568" s="417"/>
      <c r="N568" s="417"/>
      <c r="O568" s="417"/>
      <c r="P568" s="417"/>
      <c r="Q568" s="417"/>
      <c r="R568" s="417"/>
      <c r="S568" s="417"/>
      <c r="T568" s="417"/>
      <c r="U568" s="417"/>
      <c r="V568" s="417"/>
      <c r="W568" s="417"/>
      <c r="X568" s="417"/>
      <c r="Y568" s="417"/>
      <c r="Z568" s="417"/>
      <c r="AA568" s="417"/>
      <c r="AB568" s="417"/>
      <c r="AC568" s="417"/>
    </row>
    <row r="569" spans="2:29" x14ac:dyDescent="0.25">
      <c r="B569" s="417"/>
      <c r="C569" s="417"/>
      <c r="D569" s="417"/>
      <c r="E569" s="417"/>
      <c r="F569" s="417"/>
      <c r="G569" s="417"/>
      <c r="H569" s="417"/>
      <c r="I569" s="417"/>
      <c r="J569" s="417"/>
      <c r="K569" s="417"/>
      <c r="L569" s="417"/>
      <c r="M569" s="417"/>
      <c r="N569" s="417"/>
      <c r="O569" s="417"/>
      <c r="P569" s="417"/>
      <c r="Q569" s="417"/>
      <c r="R569" s="417"/>
      <c r="S569" s="417"/>
      <c r="T569" s="417"/>
      <c r="U569" s="417"/>
      <c r="V569" s="417"/>
      <c r="W569" s="417"/>
      <c r="X569" s="417"/>
      <c r="Y569" s="417"/>
      <c r="Z569" s="417"/>
      <c r="AA569" s="417"/>
      <c r="AB569" s="417"/>
      <c r="AC569" s="417"/>
    </row>
    <row r="570" spans="2:29" x14ac:dyDescent="0.25">
      <c r="B570" s="417"/>
      <c r="C570" s="417"/>
      <c r="D570" s="417"/>
      <c r="E570" s="417"/>
      <c r="F570" s="417"/>
      <c r="G570" s="417"/>
      <c r="H570" s="417"/>
      <c r="I570" s="417"/>
      <c r="J570" s="417"/>
      <c r="K570" s="417"/>
      <c r="L570" s="417"/>
      <c r="M570" s="417"/>
      <c r="N570" s="417"/>
      <c r="O570" s="417"/>
      <c r="P570" s="417"/>
      <c r="Q570" s="417"/>
      <c r="R570" s="417"/>
      <c r="S570" s="417"/>
      <c r="T570" s="417"/>
      <c r="U570" s="417"/>
      <c r="V570" s="417"/>
      <c r="W570" s="417"/>
      <c r="X570" s="417"/>
      <c r="Y570" s="417"/>
      <c r="Z570" s="417"/>
      <c r="AA570" s="417"/>
      <c r="AB570" s="417"/>
      <c r="AC570" s="417"/>
    </row>
    <row r="571" spans="2:29" x14ac:dyDescent="0.25">
      <c r="B571" s="417"/>
      <c r="C571" s="417"/>
      <c r="D571" s="417"/>
      <c r="E571" s="417"/>
      <c r="F571" s="417"/>
      <c r="G571" s="417"/>
      <c r="H571" s="417"/>
      <c r="I571" s="417"/>
      <c r="J571" s="417"/>
      <c r="K571" s="417"/>
      <c r="L571" s="417"/>
      <c r="M571" s="417"/>
      <c r="N571" s="417"/>
      <c r="O571" s="417"/>
      <c r="P571" s="417"/>
      <c r="Q571" s="417"/>
      <c r="R571" s="417"/>
      <c r="S571" s="417"/>
      <c r="T571" s="417"/>
      <c r="U571" s="417"/>
      <c r="V571" s="417"/>
      <c r="W571" s="417"/>
      <c r="X571" s="417"/>
      <c r="Y571" s="417"/>
      <c r="Z571" s="417"/>
      <c r="AA571" s="417"/>
      <c r="AB571" s="417"/>
      <c r="AC571" s="417"/>
    </row>
    <row r="572" spans="2:29" x14ac:dyDescent="0.25">
      <c r="B572" s="417"/>
      <c r="C572" s="417"/>
      <c r="D572" s="417"/>
      <c r="E572" s="417"/>
      <c r="F572" s="417"/>
      <c r="G572" s="417"/>
      <c r="H572" s="417"/>
      <c r="I572" s="417"/>
      <c r="J572" s="417"/>
      <c r="K572" s="417"/>
      <c r="L572" s="417"/>
      <c r="M572" s="417"/>
      <c r="N572" s="417"/>
      <c r="O572" s="417"/>
      <c r="P572" s="417"/>
      <c r="Q572" s="417"/>
      <c r="R572" s="417"/>
      <c r="S572" s="417"/>
      <c r="T572" s="417"/>
      <c r="U572" s="417"/>
      <c r="V572" s="417"/>
      <c r="W572" s="417"/>
      <c r="X572" s="417"/>
      <c r="Y572" s="417"/>
      <c r="Z572" s="417"/>
      <c r="AA572" s="417"/>
      <c r="AB572" s="417"/>
      <c r="AC572" s="417"/>
    </row>
    <row r="573" spans="2:29" x14ac:dyDescent="0.25">
      <c r="B573" s="417"/>
      <c r="C573" s="417"/>
      <c r="D573" s="417"/>
      <c r="E573" s="417"/>
      <c r="F573" s="417"/>
      <c r="G573" s="417"/>
      <c r="H573" s="417"/>
      <c r="I573" s="417"/>
      <c r="J573" s="417"/>
      <c r="K573" s="417"/>
      <c r="L573" s="417"/>
      <c r="M573" s="417"/>
      <c r="N573" s="417"/>
      <c r="O573" s="417"/>
      <c r="P573" s="417"/>
      <c r="Q573" s="417"/>
      <c r="R573" s="417"/>
      <c r="S573" s="417"/>
      <c r="T573" s="417"/>
      <c r="U573" s="417"/>
      <c r="V573" s="417"/>
      <c r="W573" s="417"/>
      <c r="X573" s="417"/>
      <c r="Y573" s="417"/>
      <c r="Z573" s="417"/>
      <c r="AA573" s="417"/>
      <c r="AB573" s="417"/>
      <c r="AC573" s="417"/>
    </row>
    <row r="574" spans="2:29" x14ac:dyDescent="0.25">
      <c r="B574" s="417"/>
      <c r="C574" s="417"/>
      <c r="D574" s="417"/>
      <c r="E574" s="417"/>
      <c r="F574" s="417"/>
      <c r="G574" s="417"/>
      <c r="H574" s="417"/>
      <c r="I574" s="417"/>
      <c r="J574" s="417"/>
      <c r="K574" s="417"/>
      <c r="L574" s="417"/>
      <c r="M574" s="417"/>
      <c r="N574" s="417"/>
      <c r="O574" s="417"/>
      <c r="P574" s="417"/>
      <c r="Q574" s="417"/>
      <c r="R574" s="417"/>
      <c r="S574" s="417"/>
      <c r="T574" s="417"/>
      <c r="U574" s="417"/>
      <c r="V574" s="417"/>
      <c r="W574" s="417"/>
      <c r="X574" s="417"/>
      <c r="Y574" s="417"/>
      <c r="Z574" s="417"/>
      <c r="AA574" s="417"/>
      <c r="AB574" s="417"/>
      <c r="AC574" s="417"/>
    </row>
    <row r="575" spans="2:29" x14ac:dyDescent="0.25">
      <c r="B575" s="417"/>
      <c r="C575" s="417"/>
      <c r="D575" s="417"/>
      <c r="E575" s="417"/>
      <c r="F575" s="417"/>
      <c r="G575" s="417"/>
      <c r="H575" s="417"/>
      <c r="I575" s="417"/>
      <c r="J575" s="417"/>
      <c r="K575" s="417"/>
      <c r="L575" s="417"/>
      <c r="M575" s="417"/>
      <c r="N575" s="417"/>
      <c r="O575" s="417"/>
      <c r="P575" s="417"/>
      <c r="Q575" s="417"/>
      <c r="R575" s="417"/>
      <c r="S575" s="417"/>
      <c r="T575" s="417"/>
      <c r="U575" s="417"/>
      <c r="V575" s="417"/>
      <c r="W575" s="417"/>
      <c r="X575" s="417"/>
      <c r="Y575" s="417"/>
      <c r="Z575" s="417"/>
      <c r="AA575" s="417"/>
      <c r="AB575" s="417"/>
      <c r="AC575" s="417"/>
    </row>
    <row r="576" spans="2:29" x14ac:dyDescent="0.25">
      <c r="B576" s="417"/>
      <c r="C576" s="417"/>
      <c r="D576" s="417"/>
      <c r="E576" s="417"/>
      <c r="F576" s="417"/>
      <c r="G576" s="417"/>
      <c r="H576" s="417"/>
      <c r="I576" s="417"/>
      <c r="J576" s="417"/>
      <c r="K576" s="417"/>
      <c r="L576" s="417"/>
      <c r="M576" s="417"/>
      <c r="N576" s="417"/>
      <c r="O576" s="417"/>
      <c r="P576" s="417"/>
      <c r="Q576" s="417"/>
      <c r="R576" s="417"/>
      <c r="S576" s="417"/>
      <c r="T576" s="417"/>
      <c r="U576" s="417"/>
      <c r="V576" s="417"/>
      <c r="W576" s="417"/>
      <c r="X576" s="417"/>
      <c r="Y576" s="417"/>
      <c r="Z576" s="417"/>
      <c r="AA576" s="417"/>
      <c r="AB576" s="417"/>
      <c r="AC576" s="417"/>
    </row>
    <row r="577" spans="2:29" x14ac:dyDescent="0.25">
      <c r="B577" s="417"/>
      <c r="C577" s="417"/>
      <c r="D577" s="417"/>
      <c r="E577" s="417"/>
      <c r="F577" s="417"/>
      <c r="G577" s="417"/>
      <c r="H577" s="417"/>
      <c r="I577" s="417"/>
      <c r="J577" s="417"/>
      <c r="K577" s="417"/>
      <c r="L577" s="417"/>
      <c r="M577" s="417"/>
      <c r="N577" s="417"/>
      <c r="O577" s="417"/>
      <c r="P577" s="417"/>
      <c r="Q577" s="417"/>
      <c r="R577" s="417"/>
      <c r="S577" s="417"/>
      <c r="T577" s="417"/>
      <c r="U577" s="417"/>
      <c r="V577" s="417"/>
      <c r="W577" s="417"/>
      <c r="X577" s="417"/>
      <c r="Y577" s="417"/>
      <c r="Z577" s="417"/>
      <c r="AA577" s="417"/>
      <c r="AB577" s="417"/>
      <c r="AC577" s="417"/>
    </row>
    <row r="578" spans="2:29" x14ac:dyDescent="0.25">
      <c r="B578" s="417"/>
      <c r="C578" s="417"/>
      <c r="D578" s="417"/>
      <c r="E578" s="417"/>
      <c r="F578" s="417"/>
      <c r="G578" s="417"/>
      <c r="H578" s="417"/>
      <c r="I578" s="417"/>
      <c r="J578" s="417"/>
      <c r="K578" s="417"/>
      <c r="L578" s="417"/>
      <c r="M578" s="417"/>
      <c r="N578" s="417"/>
      <c r="O578" s="417"/>
      <c r="P578" s="417"/>
      <c r="Q578" s="417"/>
      <c r="R578" s="417"/>
      <c r="S578" s="417"/>
      <c r="T578" s="417"/>
      <c r="U578" s="417"/>
      <c r="V578" s="417"/>
      <c r="W578" s="417"/>
      <c r="X578" s="417"/>
      <c r="Y578" s="417"/>
      <c r="Z578" s="417"/>
      <c r="AA578" s="417"/>
      <c r="AB578" s="417"/>
      <c r="AC578" s="417"/>
    </row>
    <row r="579" spans="2:29" x14ac:dyDescent="0.25">
      <c r="B579" s="417"/>
      <c r="C579" s="417"/>
      <c r="D579" s="417"/>
      <c r="E579" s="417"/>
      <c r="F579" s="417"/>
      <c r="G579" s="417"/>
      <c r="H579" s="417"/>
      <c r="I579" s="417"/>
      <c r="J579" s="417"/>
      <c r="K579" s="417"/>
      <c r="L579" s="417"/>
      <c r="M579" s="417"/>
      <c r="N579" s="417"/>
      <c r="O579" s="417"/>
      <c r="P579" s="417"/>
      <c r="Q579" s="417"/>
      <c r="R579" s="417"/>
      <c r="S579" s="417"/>
      <c r="T579" s="417"/>
      <c r="U579" s="417"/>
      <c r="V579" s="417"/>
      <c r="W579" s="417"/>
      <c r="X579" s="417"/>
      <c r="Y579" s="417"/>
      <c r="Z579" s="417"/>
      <c r="AA579" s="417"/>
      <c r="AB579" s="417"/>
      <c r="AC579" s="417"/>
    </row>
    <row r="580" spans="2:29" x14ac:dyDescent="0.25">
      <c r="B580" s="417"/>
      <c r="C580" s="417"/>
      <c r="D580" s="417"/>
      <c r="E580" s="417"/>
      <c r="F580" s="417"/>
      <c r="G580" s="417"/>
      <c r="H580" s="417"/>
      <c r="I580" s="417"/>
      <c r="J580" s="417"/>
      <c r="K580" s="417"/>
      <c r="L580" s="417"/>
      <c r="M580" s="417"/>
      <c r="N580" s="417"/>
      <c r="O580" s="417"/>
      <c r="P580" s="417"/>
      <c r="Q580" s="417"/>
      <c r="R580" s="417"/>
      <c r="S580" s="417"/>
      <c r="T580" s="417"/>
      <c r="U580" s="417"/>
      <c r="V580" s="417"/>
      <c r="W580" s="417"/>
      <c r="X580" s="417"/>
      <c r="Y580" s="417"/>
      <c r="Z580" s="417"/>
      <c r="AA580" s="417"/>
      <c r="AB580" s="417"/>
      <c r="AC580" s="417"/>
    </row>
    <row r="581" spans="2:29" x14ac:dyDescent="0.25">
      <c r="B581" s="417"/>
      <c r="C581" s="417"/>
      <c r="D581" s="417"/>
      <c r="E581" s="417"/>
      <c r="F581" s="417"/>
      <c r="G581" s="417"/>
      <c r="H581" s="417"/>
      <c r="I581" s="417"/>
      <c r="J581" s="417"/>
      <c r="K581" s="417"/>
      <c r="L581" s="417"/>
      <c r="M581" s="417"/>
      <c r="N581" s="417"/>
      <c r="O581" s="417"/>
      <c r="P581" s="417"/>
      <c r="Q581" s="417"/>
      <c r="R581" s="417"/>
      <c r="S581" s="417"/>
      <c r="T581" s="417"/>
      <c r="U581" s="417"/>
      <c r="V581" s="417"/>
      <c r="W581" s="417"/>
      <c r="X581" s="417"/>
      <c r="Y581" s="417"/>
      <c r="Z581" s="417"/>
      <c r="AA581" s="417"/>
      <c r="AB581" s="417"/>
      <c r="AC581" s="417"/>
    </row>
    <row r="582" spans="2:29" x14ac:dyDescent="0.25">
      <c r="B582" s="417"/>
      <c r="C582" s="417"/>
      <c r="D582" s="417"/>
      <c r="E582" s="417"/>
      <c r="F582" s="417"/>
      <c r="G582" s="417"/>
      <c r="H582" s="417"/>
      <c r="I582" s="417"/>
      <c r="J582" s="417"/>
      <c r="K582" s="417"/>
      <c r="L582" s="417"/>
      <c r="M582" s="417"/>
      <c r="N582" s="417"/>
      <c r="O582" s="417"/>
      <c r="P582" s="417"/>
      <c r="Q582" s="417"/>
      <c r="R582" s="417"/>
      <c r="S582" s="417"/>
      <c r="T582" s="417"/>
      <c r="U582" s="417"/>
      <c r="V582" s="417"/>
      <c r="W582" s="417"/>
      <c r="X582" s="417"/>
      <c r="Y582" s="417"/>
      <c r="Z582" s="417"/>
      <c r="AA582" s="417"/>
      <c r="AB582" s="417"/>
      <c r="AC582" s="417"/>
    </row>
    <row r="583" spans="2:29" x14ac:dyDescent="0.25">
      <c r="B583" s="417"/>
      <c r="C583" s="417"/>
      <c r="D583" s="417"/>
      <c r="E583" s="417"/>
      <c r="F583" s="417"/>
      <c r="G583" s="417"/>
      <c r="H583" s="417"/>
      <c r="I583" s="417"/>
      <c r="J583" s="417"/>
      <c r="K583" s="417"/>
      <c r="L583" s="417"/>
      <c r="M583" s="417"/>
      <c r="N583" s="417"/>
      <c r="O583" s="417"/>
      <c r="P583" s="417"/>
      <c r="Q583" s="417"/>
      <c r="R583" s="417"/>
      <c r="S583" s="417"/>
      <c r="T583" s="417"/>
      <c r="U583" s="417"/>
      <c r="V583" s="417"/>
      <c r="W583" s="417"/>
      <c r="X583" s="417"/>
      <c r="Y583" s="417"/>
      <c r="Z583" s="417"/>
      <c r="AA583" s="417"/>
      <c r="AB583" s="417"/>
      <c r="AC583" s="417"/>
    </row>
    <row r="584" spans="2:29" x14ac:dyDescent="0.25">
      <c r="B584" s="417"/>
      <c r="C584" s="417"/>
      <c r="D584" s="417"/>
      <c r="E584" s="417"/>
      <c r="F584" s="417"/>
      <c r="G584" s="417"/>
      <c r="H584" s="417"/>
      <c r="I584" s="417"/>
      <c r="J584" s="417"/>
      <c r="K584" s="417"/>
      <c r="L584" s="417"/>
      <c r="M584" s="417"/>
      <c r="N584" s="417"/>
      <c r="O584" s="417"/>
      <c r="P584" s="417"/>
      <c r="Q584" s="417"/>
      <c r="R584" s="417"/>
      <c r="S584" s="417"/>
      <c r="T584" s="417"/>
      <c r="U584" s="417"/>
      <c r="V584" s="417"/>
      <c r="W584" s="417"/>
      <c r="X584" s="417"/>
      <c r="Y584" s="417"/>
      <c r="Z584" s="417"/>
      <c r="AA584" s="417"/>
      <c r="AB584" s="417"/>
      <c r="AC584" s="417"/>
    </row>
    <row r="585" spans="2:29" x14ac:dyDescent="0.25">
      <c r="B585" s="417"/>
      <c r="C585" s="417"/>
      <c r="D585" s="417"/>
      <c r="E585" s="417"/>
      <c r="F585" s="417"/>
      <c r="G585" s="417"/>
      <c r="H585" s="417"/>
      <c r="I585" s="417"/>
      <c r="J585" s="417"/>
      <c r="K585" s="417"/>
      <c r="L585" s="417"/>
      <c r="M585" s="417"/>
      <c r="N585" s="417"/>
      <c r="O585" s="417"/>
      <c r="P585" s="417"/>
      <c r="Q585" s="417"/>
      <c r="R585" s="417"/>
      <c r="S585" s="417"/>
      <c r="T585" s="417"/>
      <c r="U585" s="417"/>
      <c r="V585" s="417"/>
      <c r="W585" s="417"/>
      <c r="X585" s="417"/>
      <c r="Y585" s="417"/>
      <c r="Z585" s="417"/>
      <c r="AA585" s="417"/>
      <c r="AB585" s="417"/>
      <c r="AC585" s="417"/>
    </row>
    <row r="586" spans="2:29" x14ac:dyDescent="0.25">
      <c r="B586" s="417"/>
      <c r="C586" s="417"/>
      <c r="D586" s="417"/>
      <c r="E586" s="417"/>
      <c r="F586" s="417"/>
      <c r="G586" s="417"/>
      <c r="H586" s="417"/>
      <c r="I586" s="417"/>
      <c r="J586" s="417"/>
      <c r="K586" s="417"/>
      <c r="L586" s="417"/>
      <c r="M586" s="417"/>
      <c r="N586" s="417"/>
      <c r="O586" s="417"/>
      <c r="P586" s="417"/>
      <c r="Q586" s="417"/>
      <c r="R586" s="417"/>
      <c r="S586" s="417"/>
      <c r="T586" s="417"/>
      <c r="U586" s="417"/>
      <c r="V586" s="417"/>
      <c r="W586" s="417"/>
      <c r="X586" s="417"/>
      <c r="Y586" s="417"/>
      <c r="Z586" s="417"/>
      <c r="AA586" s="417"/>
      <c r="AB586" s="417"/>
      <c r="AC586" s="417"/>
    </row>
    <row r="587" spans="2:29" x14ac:dyDescent="0.25">
      <c r="B587" s="417"/>
      <c r="C587" s="417"/>
      <c r="D587" s="417"/>
      <c r="E587" s="417"/>
      <c r="F587" s="417"/>
      <c r="G587" s="417"/>
      <c r="H587" s="417"/>
      <c r="I587" s="417"/>
      <c r="J587" s="417"/>
      <c r="K587" s="417"/>
      <c r="L587" s="417"/>
      <c r="M587" s="417"/>
      <c r="N587" s="417"/>
      <c r="O587" s="417"/>
      <c r="P587" s="417"/>
      <c r="Q587" s="417"/>
      <c r="R587" s="417"/>
      <c r="S587" s="417"/>
      <c r="T587" s="417"/>
      <c r="U587" s="417"/>
      <c r="V587" s="417"/>
      <c r="W587" s="417"/>
      <c r="X587" s="417"/>
      <c r="Y587" s="417"/>
      <c r="Z587" s="417"/>
      <c r="AA587" s="417"/>
      <c r="AB587" s="417"/>
      <c r="AC587" s="417"/>
    </row>
    <row r="588" spans="2:29" x14ac:dyDescent="0.25">
      <c r="B588" s="417"/>
      <c r="C588" s="417"/>
      <c r="D588" s="417"/>
      <c r="E588" s="417"/>
      <c r="F588" s="417"/>
      <c r="G588" s="417"/>
      <c r="H588" s="417"/>
      <c r="I588" s="417"/>
      <c r="J588" s="417"/>
      <c r="K588" s="417"/>
      <c r="L588" s="417"/>
      <c r="M588" s="417"/>
      <c r="N588" s="417"/>
      <c r="O588" s="417"/>
      <c r="P588" s="417"/>
      <c r="Q588" s="417"/>
      <c r="R588" s="417"/>
      <c r="S588" s="417"/>
      <c r="T588" s="417"/>
      <c r="U588" s="417"/>
      <c r="V588" s="417"/>
      <c r="W588" s="417"/>
      <c r="X588" s="417"/>
      <c r="Y588" s="417"/>
      <c r="Z588" s="417"/>
      <c r="AA588" s="417"/>
      <c r="AB588" s="417"/>
      <c r="AC588" s="417"/>
    </row>
    <row r="589" spans="2:29" x14ac:dyDescent="0.25">
      <c r="B589" s="417"/>
      <c r="C589" s="417"/>
      <c r="D589" s="417"/>
      <c r="E589" s="417"/>
      <c r="F589" s="417"/>
      <c r="G589" s="417"/>
      <c r="H589" s="417"/>
      <c r="I589" s="417"/>
      <c r="J589" s="417"/>
      <c r="K589" s="417"/>
      <c r="L589" s="417"/>
      <c r="M589" s="417"/>
      <c r="N589" s="417"/>
      <c r="O589" s="417"/>
      <c r="P589" s="417"/>
      <c r="Q589" s="417"/>
      <c r="R589" s="417"/>
      <c r="S589" s="417"/>
      <c r="T589" s="417"/>
      <c r="U589" s="417"/>
      <c r="V589" s="417"/>
      <c r="W589" s="417"/>
      <c r="X589" s="417"/>
      <c r="Y589" s="417"/>
      <c r="Z589" s="417"/>
      <c r="AA589" s="417"/>
      <c r="AB589" s="417"/>
      <c r="AC589" s="417"/>
    </row>
    <row r="590" spans="2:29" x14ac:dyDescent="0.25">
      <c r="B590" s="417"/>
      <c r="C590" s="417"/>
      <c r="D590" s="417"/>
      <c r="E590" s="417"/>
      <c r="F590" s="417"/>
      <c r="G590" s="417"/>
      <c r="H590" s="417"/>
      <c r="I590" s="417"/>
      <c r="J590" s="417"/>
      <c r="K590" s="417"/>
      <c r="L590" s="417"/>
      <c r="M590" s="417"/>
      <c r="N590" s="417"/>
      <c r="O590" s="417"/>
      <c r="P590" s="417"/>
      <c r="Q590" s="417"/>
      <c r="R590" s="417"/>
      <c r="S590" s="417"/>
      <c r="T590" s="417"/>
      <c r="U590" s="417"/>
      <c r="V590" s="417"/>
      <c r="W590" s="417"/>
      <c r="X590" s="417"/>
      <c r="Y590" s="417"/>
      <c r="Z590" s="417"/>
      <c r="AA590" s="417"/>
      <c r="AB590" s="417"/>
      <c r="AC590" s="417"/>
    </row>
    <row r="591" spans="2:29" x14ac:dyDescent="0.25">
      <c r="B591" s="417"/>
      <c r="C591" s="417"/>
      <c r="D591" s="417"/>
      <c r="E591" s="417"/>
      <c r="F591" s="417"/>
      <c r="G591" s="417"/>
      <c r="H591" s="417"/>
      <c r="I591" s="417"/>
      <c r="J591" s="417"/>
      <c r="K591" s="417"/>
      <c r="L591" s="417"/>
      <c r="M591" s="417"/>
      <c r="N591" s="417"/>
      <c r="O591" s="417"/>
      <c r="P591" s="417"/>
      <c r="Q591" s="417"/>
      <c r="R591" s="417"/>
      <c r="S591" s="417"/>
      <c r="T591" s="417"/>
      <c r="U591" s="417"/>
      <c r="V591" s="417"/>
      <c r="W591" s="417"/>
      <c r="X591" s="417"/>
      <c r="Y591" s="417"/>
      <c r="Z591" s="417"/>
      <c r="AA591" s="417"/>
      <c r="AB591" s="417"/>
      <c r="AC591" s="417"/>
    </row>
    <row r="592" spans="2:29" x14ac:dyDescent="0.25">
      <c r="B592" s="417"/>
      <c r="C592" s="417"/>
      <c r="D592" s="417"/>
      <c r="E592" s="417"/>
      <c r="F592" s="417"/>
      <c r="G592" s="417"/>
      <c r="H592" s="417"/>
      <c r="I592" s="417"/>
      <c r="J592" s="417"/>
      <c r="K592" s="417"/>
      <c r="L592" s="417"/>
      <c r="M592" s="417"/>
      <c r="N592" s="417"/>
      <c r="O592" s="417"/>
      <c r="P592" s="417"/>
      <c r="Q592" s="417"/>
      <c r="R592" s="417"/>
      <c r="S592" s="417"/>
      <c r="T592" s="417"/>
      <c r="U592" s="417"/>
      <c r="V592" s="417"/>
      <c r="W592" s="417"/>
      <c r="X592" s="417"/>
      <c r="Y592" s="417"/>
      <c r="Z592" s="417"/>
      <c r="AA592" s="417"/>
      <c r="AB592" s="417"/>
      <c r="AC592" s="417"/>
    </row>
    <row r="593" spans="2:29" x14ac:dyDescent="0.25">
      <c r="B593" s="417"/>
      <c r="C593" s="417"/>
      <c r="D593" s="417"/>
      <c r="E593" s="417"/>
      <c r="F593" s="417"/>
      <c r="G593" s="417"/>
      <c r="H593" s="417"/>
      <c r="I593" s="417"/>
      <c r="J593" s="417"/>
      <c r="K593" s="417"/>
      <c r="L593" s="417"/>
      <c r="M593" s="417"/>
      <c r="N593" s="417"/>
      <c r="O593" s="417"/>
      <c r="P593" s="417"/>
      <c r="Q593" s="417"/>
      <c r="R593" s="417"/>
      <c r="S593" s="417"/>
      <c r="T593" s="417"/>
      <c r="U593" s="417"/>
      <c r="V593" s="417"/>
      <c r="W593" s="417"/>
      <c r="X593" s="417"/>
      <c r="Y593" s="417"/>
      <c r="Z593" s="417"/>
      <c r="AA593" s="417"/>
      <c r="AB593" s="417"/>
      <c r="AC593" s="417"/>
    </row>
    <row r="594" spans="2:29" x14ac:dyDescent="0.25">
      <c r="B594" s="417"/>
      <c r="C594" s="417"/>
      <c r="D594" s="417"/>
      <c r="E594" s="417"/>
      <c r="F594" s="417"/>
      <c r="G594" s="417"/>
      <c r="H594" s="417"/>
      <c r="I594" s="417"/>
      <c r="J594" s="417"/>
      <c r="K594" s="417"/>
      <c r="L594" s="417"/>
      <c r="M594" s="417"/>
      <c r="N594" s="417"/>
      <c r="O594" s="417"/>
      <c r="P594" s="417"/>
      <c r="Q594" s="417"/>
      <c r="R594" s="417"/>
      <c r="S594" s="417"/>
      <c r="T594" s="417"/>
      <c r="U594" s="417"/>
      <c r="V594" s="417"/>
      <c r="W594" s="417"/>
      <c r="X594" s="417"/>
      <c r="Y594" s="417"/>
      <c r="Z594" s="417"/>
      <c r="AA594" s="417"/>
      <c r="AB594" s="417"/>
      <c r="AC594" s="417"/>
    </row>
    <row r="595" spans="2:29" x14ac:dyDescent="0.25">
      <c r="B595" s="417"/>
      <c r="C595" s="417"/>
      <c r="D595" s="417"/>
      <c r="E595" s="417"/>
      <c r="F595" s="417"/>
      <c r="G595" s="417"/>
      <c r="H595" s="417"/>
      <c r="I595" s="417"/>
      <c r="J595" s="417"/>
      <c r="K595" s="417"/>
      <c r="L595" s="417"/>
      <c r="M595" s="417"/>
      <c r="N595" s="417"/>
      <c r="O595" s="417"/>
      <c r="P595" s="417"/>
      <c r="Q595" s="417"/>
      <c r="R595" s="417"/>
      <c r="S595" s="417"/>
      <c r="T595" s="417"/>
      <c r="U595" s="417"/>
      <c r="V595" s="417"/>
      <c r="W595" s="417"/>
      <c r="X595" s="417"/>
      <c r="Y595" s="417"/>
      <c r="Z595" s="417"/>
      <c r="AA595" s="417"/>
      <c r="AB595" s="417"/>
      <c r="AC595" s="417"/>
    </row>
    <row r="596" spans="2:29" x14ac:dyDescent="0.25">
      <c r="B596" s="417"/>
      <c r="C596" s="417"/>
      <c r="D596" s="417"/>
      <c r="E596" s="417"/>
      <c r="F596" s="417"/>
      <c r="G596" s="417"/>
      <c r="H596" s="417"/>
      <c r="I596" s="417"/>
      <c r="J596" s="417"/>
      <c r="K596" s="417"/>
      <c r="L596" s="417"/>
      <c r="M596" s="417"/>
      <c r="N596" s="417"/>
      <c r="O596" s="417"/>
      <c r="P596" s="417"/>
      <c r="Q596" s="417"/>
      <c r="R596" s="417"/>
      <c r="S596" s="417"/>
      <c r="T596" s="417"/>
      <c r="U596" s="417"/>
      <c r="V596" s="417"/>
      <c r="W596" s="417"/>
      <c r="X596" s="417"/>
      <c r="Y596" s="417"/>
      <c r="Z596" s="417"/>
      <c r="AA596" s="417"/>
      <c r="AB596" s="417"/>
      <c r="AC596" s="417"/>
    </row>
    <row r="597" spans="2:29" x14ac:dyDescent="0.25">
      <c r="B597" s="417"/>
      <c r="C597" s="417"/>
      <c r="D597" s="417"/>
      <c r="E597" s="417"/>
      <c r="F597" s="417"/>
      <c r="G597" s="417"/>
      <c r="H597" s="417"/>
      <c r="I597" s="417"/>
      <c r="J597" s="417"/>
      <c r="K597" s="417"/>
      <c r="L597" s="417"/>
      <c r="M597" s="417"/>
      <c r="N597" s="417"/>
      <c r="O597" s="417"/>
      <c r="P597" s="417"/>
      <c r="Q597" s="417"/>
      <c r="R597" s="417"/>
      <c r="S597" s="417"/>
      <c r="T597" s="417"/>
      <c r="U597" s="417"/>
      <c r="V597" s="417"/>
      <c r="W597" s="417"/>
      <c r="X597" s="417"/>
      <c r="Y597" s="417"/>
      <c r="Z597" s="417"/>
      <c r="AA597" s="417"/>
      <c r="AB597" s="417"/>
      <c r="AC597" s="417"/>
    </row>
    <row r="598" spans="2:29" x14ac:dyDescent="0.25">
      <c r="B598" s="417"/>
      <c r="C598" s="417"/>
      <c r="D598" s="417"/>
      <c r="E598" s="417"/>
      <c r="F598" s="417"/>
      <c r="G598" s="417"/>
      <c r="H598" s="417"/>
      <c r="I598" s="417"/>
      <c r="J598" s="417"/>
      <c r="K598" s="417"/>
      <c r="L598" s="417"/>
      <c r="M598" s="417"/>
      <c r="N598" s="417"/>
      <c r="O598" s="417"/>
      <c r="P598" s="417"/>
      <c r="Q598" s="417"/>
      <c r="R598" s="417"/>
      <c r="S598" s="417"/>
      <c r="T598" s="417"/>
      <c r="U598" s="417"/>
      <c r="V598" s="417"/>
      <c r="W598" s="417"/>
      <c r="X598" s="417"/>
      <c r="Y598" s="417"/>
      <c r="Z598" s="417"/>
      <c r="AA598" s="417"/>
      <c r="AB598" s="417"/>
      <c r="AC598" s="417"/>
    </row>
    <row r="599" spans="2:29" x14ac:dyDescent="0.25">
      <c r="B599" s="417"/>
      <c r="C599" s="417"/>
      <c r="D599" s="417"/>
      <c r="E599" s="417"/>
      <c r="F599" s="417"/>
      <c r="G599" s="417"/>
      <c r="H599" s="417"/>
      <c r="I599" s="417"/>
      <c r="J599" s="417"/>
      <c r="K599" s="417"/>
      <c r="L599" s="417"/>
      <c r="M599" s="417"/>
      <c r="N599" s="417"/>
      <c r="O599" s="417"/>
      <c r="P599" s="417"/>
      <c r="Q599" s="417"/>
      <c r="R599" s="417"/>
      <c r="S599" s="417"/>
      <c r="T599" s="417"/>
      <c r="U599" s="417"/>
      <c r="V599" s="417"/>
      <c r="W599" s="417"/>
      <c r="X599" s="417"/>
      <c r="Y599" s="417"/>
      <c r="Z599" s="417"/>
      <c r="AA599" s="417"/>
      <c r="AB599" s="417"/>
      <c r="AC599" s="417"/>
    </row>
    <row r="600" spans="2:29" x14ac:dyDescent="0.25">
      <c r="B600" s="417"/>
      <c r="C600" s="417"/>
      <c r="D600" s="417"/>
      <c r="E600" s="417"/>
      <c r="F600" s="417"/>
      <c r="G600" s="417"/>
      <c r="H600" s="417"/>
      <c r="I600" s="417"/>
      <c r="J600" s="417"/>
      <c r="K600" s="417"/>
      <c r="L600" s="417"/>
      <c r="M600" s="417"/>
      <c r="N600" s="417"/>
      <c r="O600" s="417"/>
      <c r="P600" s="417"/>
      <c r="Q600" s="417"/>
      <c r="R600" s="417"/>
      <c r="S600" s="417"/>
      <c r="T600" s="417"/>
      <c r="U600" s="417"/>
      <c r="V600" s="417"/>
      <c r="W600" s="417"/>
      <c r="X600" s="417"/>
      <c r="Y600" s="417"/>
      <c r="Z600" s="417"/>
      <c r="AA600" s="417"/>
      <c r="AB600" s="417"/>
      <c r="AC600" s="417"/>
    </row>
    <row r="601" spans="2:29" x14ac:dyDescent="0.25">
      <c r="B601" s="417"/>
      <c r="C601" s="417"/>
      <c r="D601" s="417"/>
      <c r="E601" s="417"/>
      <c r="F601" s="417"/>
      <c r="G601" s="417"/>
      <c r="H601" s="417"/>
      <c r="I601" s="417"/>
      <c r="J601" s="417"/>
      <c r="K601" s="417"/>
      <c r="L601" s="417"/>
      <c r="M601" s="417"/>
      <c r="N601" s="417"/>
      <c r="O601" s="417"/>
      <c r="P601" s="417"/>
      <c r="Q601" s="417"/>
      <c r="R601" s="417"/>
      <c r="S601" s="417"/>
      <c r="T601" s="417"/>
      <c r="U601" s="417"/>
      <c r="V601" s="417"/>
      <c r="W601" s="417"/>
      <c r="X601" s="417"/>
      <c r="Y601" s="417"/>
      <c r="Z601" s="417"/>
      <c r="AA601" s="417"/>
      <c r="AB601" s="417"/>
      <c r="AC601" s="417"/>
    </row>
    <row r="602" spans="2:29" x14ac:dyDescent="0.25">
      <c r="B602" s="417"/>
      <c r="C602" s="417"/>
      <c r="D602" s="417"/>
      <c r="E602" s="417"/>
      <c r="F602" s="417"/>
      <c r="G602" s="417"/>
      <c r="H602" s="417"/>
      <c r="I602" s="417"/>
      <c r="J602" s="417"/>
      <c r="K602" s="417"/>
      <c r="L602" s="417"/>
      <c r="M602" s="417"/>
      <c r="N602" s="417"/>
      <c r="O602" s="417"/>
      <c r="P602" s="417"/>
      <c r="Q602" s="417"/>
      <c r="R602" s="417"/>
      <c r="S602" s="417"/>
      <c r="T602" s="417"/>
      <c r="U602" s="417"/>
      <c r="V602" s="417"/>
      <c r="W602" s="417"/>
      <c r="X602" s="417"/>
      <c r="Y602" s="417"/>
      <c r="Z602" s="417"/>
      <c r="AA602" s="417"/>
      <c r="AB602" s="417"/>
      <c r="AC602" s="417"/>
    </row>
    <row r="603" spans="2:29" x14ac:dyDescent="0.25">
      <c r="B603" s="417"/>
      <c r="C603" s="417"/>
      <c r="D603" s="417"/>
      <c r="E603" s="417"/>
      <c r="F603" s="417"/>
      <c r="G603" s="417"/>
      <c r="H603" s="417"/>
      <c r="I603" s="417"/>
      <c r="J603" s="417"/>
      <c r="K603" s="417"/>
      <c r="L603" s="417"/>
      <c r="M603" s="417"/>
      <c r="N603" s="417"/>
      <c r="O603" s="417"/>
      <c r="P603" s="417"/>
      <c r="Q603" s="417"/>
      <c r="R603" s="417"/>
      <c r="S603" s="417"/>
      <c r="T603" s="417"/>
      <c r="U603" s="417"/>
      <c r="V603" s="417"/>
      <c r="W603" s="417"/>
      <c r="X603" s="417"/>
      <c r="Y603" s="417"/>
      <c r="Z603" s="417"/>
      <c r="AA603" s="417"/>
      <c r="AB603" s="417"/>
      <c r="AC603" s="417"/>
    </row>
    <row r="604" spans="2:29" x14ac:dyDescent="0.25">
      <c r="B604" s="417"/>
      <c r="C604" s="417"/>
      <c r="D604" s="417"/>
      <c r="E604" s="417"/>
      <c r="F604" s="417"/>
      <c r="G604" s="417"/>
      <c r="H604" s="417"/>
      <c r="I604" s="417"/>
      <c r="J604" s="417"/>
      <c r="K604" s="417"/>
      <c r="L604" s="417"/>
      <c r="M604" s="417"/>
      <c r="N604" s="417"/>
      <c r="O604" s="417"/>
      <c r="P604" s="417"/>
      <c r="Q604" s="417"/>
      <c r="R604" s="417"/>
      <c r="S604" s="417"/>
      <c r="T604" s="417"/>
      <c r="U604" s="417"/>
      <c r="V604" s="417"/>
      <c r="W604" s="417"/>
      <c r="X604" s="417"/>
      <c r="Y604" s="417"/>
      <c r="Z604" s="417"/>
      <c r="AA604" s="417"/>
      <c r="AB604" s="417"/>
      <c r="AC604" s="417"/>
    </row>
    <row r="605" spans="2:29" x14ac:dyDescent="0.25">
      <c r="B605" s="417"/>
      <c r="C605" s="417"/>
      <c r="D605" s="417"/>
      <c r="E605" s="417"/>
      <c r="F605" s="417"/>
      <c r="G605" s="417"/>
      <c r="H605" s="417"/>
      <c r="I605" s="417"/>
      <c r="J605" s="417"/>
      <c r="K605" s="417"/>
      <c r="L605" s="417"/>
      <c r="M605" s="417"/>
      <c r="N605" s="417"/>
      <c r="O605" s="417"/>
      <c r="P605" s="417"/>
      <c r="Q605" s="417"/>
      <c r="R605" s="417"/>
      <c r="S605" s="417"/>
      <c r="T605" s="417"/>
      <c r="U605" s="417"/>
      <c r="V605" s="417"/>
      <c r="W605" s="417"/>
      <c r="X605" s="417"/>
      <c r="Y605" s="417"/>
      <c r="Z605" s="417"/>
      <c r="AA605" s="417"/>
      <c r="AB605" s="417"/>
      <c r="AC605" s="417"/>
    </row>
    <row r="606" spans="2:29" x14ac:dyDescent="0.25">
      <c r="B606" s="417"/>
      <c r="C606" s="417"/>
      <c r="D606" s="417"/>
      <c r="E606" s="417"/>
      <c r="F606" s="417"/>
      <c r="G606" s="417"/>
      <c r="H606" s="417"/>
      <c r="I606" s="417"/>
      <c r="J606" s="417"/>
      <c r="K606" s="417"/>
      <c r="L606" s="417"/>
      <c r="M606" s="417"/>
      <c r="N606" s="417"/>
      <c r="O606" s="417"/>
      <c r="P606" s="417"/>
      <c r="Q606" s="417"/>
      <c r="R606" s="417"/>
      <c r="S606" s="417"/>
      <c r="T606" s="417"/>
      <c r="U606" s="417"/>
      <c r="V606" s="417"/>
      <c r="W606" s="417"/>
      <c r="X606" s="417"/>
      <c r="Y606" s="417"/>
      <c r="Z606" s="417"/>
      <c r="AA606" s="417"/>
      <c r="AB606" s="417"/>
      <c r="AC606" s="417"/>
    </row>
    <row r="607" spans="2:29" x14ac:dyDescent="0.25">
      <c r="B607" s="417"/>
      <c r="C607" s="417"/>
      <c r="D607" s="417"/>
      <c r="E607" s="417"/>
      <c r="F607" s="417"/>
      <c r="G607" s="417"/>
      <c r="H607" s="417"/>
      <c r="I607" s="417"/>
      <c r="J607" s="417"/>
      <c r="K607" s="417"/>
      <c r="L607" s="417"/>
      <c r="M607" s="417"/>
      <c r="N607" s="417"/>
      <c r="O607" s="417"/>
      <c r="P607" s="417"/>
      <c r="Q607" s="417"/>
      <c r="R607" s="417"/>
      <c r="S607" s="417"/>
      <c r="T607" s="417"/>
      <c r="U607" s="417"/>
      <c r="V607" s="417"/>
      <c r="W607" s="417"/>
      <c r="X607" s="417"/>
      <c r="Y607" s="417"/>
      <c r="Z607" s="417"/>
      <c r="AA607" s="417"/>
      <c r="AB607" s="417"/>
      <c r="AC607" s="417"/>
    </row>
    <row r="608" spans="2:29" x14ac:dyDescent="0.25">
      <c r="B608" s="417"/>
      <c r="C608" s="417"/>
      <c r="D608" s="417"/>
      <c r="E608" s="417"/>
      <c r="F608" s="417"/>
      <c r="G608" s="417"/>
      <c r="H608" s="417"/>
      <c r="I608" s="417"/>
      <c r="J608" s="417"/>
      <c r="K608" s="417"/>
      <c r="L608" s="417"/>
      <c r="M608" s="417"/>
      <c r="N608" s="417"/>
      <c r="O608" s="417"/>
      <c r="P608" s="417"/>
      <c r="Q608" s="417"/>
      <c r="R608" s="417"/>
      <c r="S608" s="417"/>
      <c r="T608" s="417"/>
      <c r="U608" s="417"/>
      <c r="V608" s="417"/>
      <c r="W608" s="417"/>
      <c r="X608" s="417"/>
      <c r="Y608" s="417"/>
      <c r="Z608" s="417"/>
      <c r="AA608" s="417"/>
      <c r="AB608" s="417"/>
      <c r="AC608" s="417"/>
    </row>
    <row r="609" spans="2:29" x14ac:dyDescent="0.25">
      <c r="B609" s="417"/>
      <c r="C609" s="417"/>
      <c r="D609" s="417"/>
      <c r="E609" s="417"/>
      <c r="F609" s="417"/>
      <c r="G609" s="417"/>
      <c r="H609" s="417"/>
      <c r="I609" s="417"/>
      <c r="J609" s="417"/>
      <c r="K609" s="417"/>
      <c r="L609" s="417"/>
      <c r="M609" s="417"/>
      <c r="N609" s="417"/>
      <c r="O609" s="417"/>
      <c r="P609" s="417"/>
      <c r="Q609" s="417"/>
      <c r="R609" s="417"/>
      <c r="S609" s="417"/>
      <c r="T609" s="417"/>
      <c r="U609" s="417"/>
      <c r="V609" s="417"/>
      <c r="W609" s="417"/>
      <c r="X609" s="417"/>
      <c r="Y609" s="417"/>
      <c r="Z609" s="417"/>
      <c r="AA609" s="417"/>
      <c r="AB609" s="417"/>
      <c r="AC609" s="417"/>
    </row>
    <row r="610" spans="2:29" x14ac:dyDescent="0.25">
      <c r="B610" s="417"/>
      <c r="C610" s="417"/>
      <c r="D610" s="417"/>
      <c r="E610" s="417"/>
      <c r="F610" s="417"/>
      <c r="G610" s="417"/>
      <c r="H610" s="417"/>
      <c r="I610" s="417"/>
      <c r="J610" s="417"/>
      <c r="K610" s="417"/>
      <c r="L610" s="417"/>
      <c r="M610" s="417"/>
      <c r="N610" s="417"/>
      <c r="O610" s="417"/>
      <c r="P610" s="417"/>
      <c r="Q610" s="417"/>
      <c r="R610" s="417"/>
      <c r="S610" s="417"/>
      <c r="T610" s="417"/>
      <c r="U610" s="417"/>
      <c r="V610" s="417"/>
      <c r="W610" s="417"/>
      <c r="X610" s="417"/>
      <c r="Y610" s="417"/>
      <c r="Z610" s="417"/>
      <c r="AA610" s="417"/>
      <c r="AB610" s="417"/>
      <c r="AC610" s="417"/>
    </row>
    <row r="611" spans="2:29" x14ac:dyDescent="0.25">
      <c r="B611" s="417"/>
      <c r="C611" s="417"/>
      <c r="D611" s="417"/>
      <c r="E611" s="417"/>
      <c r="F611" s="417"/>
      <c r="G611" s="417"/>
      <c r="H611" s="417"/>
      <c r="I611" s="417"/>
      <c r="J611" s="417"/>
      <c r="K611" s="417"/>
      <c r="L611" s="417"/>
      <c r="M611" s="417"/>
      <c r="N611" s="417"/>
      <c r="O611" s="417"/>
      <c r="P611" s="417"/>
      <c r="Q611" s="417"/>
      <c r="R611" s="417"/>
      <c r="S611" s="417"/>
      <c r="T611" s="417"/>
      <c r="U611" s="417"/>
      <c r="V611" s="417"/>
      <c r="W611" s="417"/>
      <c r="X611" s="417"/>
      <c r="Y611" s="417"/>
      <c r="Z611" s="417"/>
      <c r="AA611" s="417"/>
      <c r="AB611" s="417"/>
      <c r="AC611" s="417"/>
    </row>
    <row r="612" spans="2:29" x14ac:dyDescent="0.25">
      <c r="B612" s="417"/>
      <c r="C612" s="417"/>
      <c r="D612" s="417"/>
      <c r="E612" s="417"/>
      <c r="F612" s="417"/>
      <c r="G612" s="417"/>
      <c r="H612" s="417"/>
      <c r="I612" s="417"/>
      <c r="J612" s="417"/>
      <c r="K612" s="417"/>
      <c r="L612" s="417"/>
      <c r="M612" s="417"/>
      <c r="N612" s="417"/>
      <c r="O612" s="417"/>
      <c r="P612" s="417"/>
      <c r="Q612" s="417"/>
      <c r="R612" s="417"/>
      <c r="S612" s="417"/>
      <c r="T612" s="417"/>
      <c r="U612" s="417"/>
      <c r="V612" s="417"/>
      <c r="W612" s="417"/>
      <c r="X612" s="417"/>
      <c r="Y612" s="417"/>
      <c r="Z612" s="417"/>
      <c r="AA612" s="417"/>
      <c r="AB612" s="417"/>
      <c r="AC612" s="417"/>
    </row>
    <row r="613" spans="2:29" x14ac:dyDescent="0.25">
      <c r="B613" s="417"/>
      <c r="C613" s="417"/>
      <c r="D613" s="417"/>
      <c r="E613" s="417"/>
      <c r="F613" s="417"/>
      <c r="G613" s="417"/>
      <c r="H613" s="417"/>
      <c r="I613" s="417"/>
      <c r="J613" s="417"/>
      <c r="K613" s="417"/>
      <c r="L613" s="417"/>
      <c r="M613" s="417"/>
      <c r="N613" s="417"/>
      <c r="O613" s="417"/>
      <c r="P613" s="417"/>
      <c r="Q613" s="417"/>
      <c r="R613" s="417"/>
      <c r="S613" s="417"/>
      <c r="T613" s="417"/>
      <c r="U613" s="417"/>
      <c r="V613" s="417"/>
      <c r="W613" s="417"/>
      <c r="X613" s="417"/>
      <c r="Y613" s="417"/>
      <c r="Z613" s="417"/>
      <c r="AA613" s="417"/>
      <c r="AB613" s="417"/>
      <c r="AC613" s="417"/>
    </row>
    <row r="614" spans="2:29" x14ac:dyDescent="0.25">
      <c r="B614" s="417"/>
      <c r="C614" s="417"/>
      <c r="D614" s="417"/>
      <c r="E614" s="417"/>
      <c r="F614" s="417"/>
      <c r="G614" s="417"/>
      <c r="H614" s="417"/>
      <c r="I614" s="417"/>
      <c r="J614" s="417"/>
      <c r="K614" s="417"/>
      <c r="L614" s="417"/>
      <c r="M614" s="417"/>
      <c r="N614" s="417"/>
      <c r="O614" s="417"/>
      <c r="P614" s="417"/>
      <c r="Q614" s="417"/>
      <c r="R614" s="417"/>
      <c r="S614" s="417"/>
      <c r="T614" s="417"/>
      <c r="U614" s="417"/>
      <c r="V614" s="417"/>
      <c r="W614" s="417"/>
      <c r="X614" s="417"/>
      <c r="Y614" s="417"/>
      <c r="Z614" s="417"/>
      <c r="AA614" s="417"/>
      <c r="AB614" s="417"/>
      <c r="AC614" s="417"/>
    </row>
    <row r="615" spans="2:29" x14ac:dyDescent="0.25">
      <c r="B615" s="417"/>
      <c r="C615" s="417"/>
      <c r="D615" s="417"/>
      <c r="E615" s="417"/>
      <c r="F615" s="417"/>
      <c r="G615" s="417"/>
      <c r="H615" s="417"/>
      <c r="I615" s="417"/>
      <c r="J615" s="417"/>
      <c r="K615" s="417"/>
      <c r="L615" s="417"/>
      <c r="M615" s="417"/>
      <c r="N615" s="417"/>
      <c r="O615" s="417"/>
      <c r="P615" s="417"/>
      <c r="Q615" s="417"/>
      <c r="R615" s="417"/>
      <c r="S615" s="417"/>
      <c r="T615" s="417"/>
      <c r="U615" s="417"/>
      <c r="V615" s="417"/>
      <c r="W615" s="417"/>
      <c r="X615" s="417"/>
      <c r="Y615" s="417"/>
      <c r="Z615" s="417"/>
      <c r="AA615" s="417"/>
      <c r="AB615" s="417"/>
      <c r="AC615" s="417"/>
    </row>
    <row r="616" spans="2:29" x14ac:dyDescent="0.25">
      <c r="B616" s="417"/>
      <c r="C616" s="417"/>
      <c r="D616" s="417"/>
      <c r="E616" s="417"/>
      <c r="F616" s="417"/>
      <c r="G616" s="417"/>
      <c r="H616" s="417"/>
      <c r="I616" s="417"/>
      <c r="J616" s="417"/>
      <c r="K616" s="417"/>
      <c r="L616" s="417"/>
      <c r="M616" s="417"/>
      <c r="N616" s="417"/>
      <c r="O616" s="417"/>
      <c r="P616" s="417"/>
      <c r="Q616" s="417"/>
      <c r="R616" s="417"/>
      <c r="S616" s="417"/>
      <c r="T616" s="417"/>
      <c r="U616" s="417"/>
      <c r="V616" s="417"/>
      <c r="W616" s="417"/>
      <c r="X616" s="417"/>
      <c r="Y616" s="417"/>
      <c r="Z616" s="417"/>
      <c r="AA616" s="417"/>
      <c r="AB616" s="417"/>
      <c r="AC616" s="417"/>
    </row>
    <row r="617" spans="2:29" x14ac:dyDescent="0.25">
      <c r="B617" s="417"/>
      <c r="C617" s="417"/>
      <c r="D617" s="417"/>
      <c r="E617" s="417"/>
      <c r="F617" s="417"/>
      <c r="G617" s="417"/>
      <c r="H617" s="417"/>
      <c r="I617" s="417"/>
      <c r="J617" s="417"/>
      <c r="K617" s="417"/>
      <c r="L617" s="417"/>
      <c r="M617" s="417"/>
      <c r="N617" s="417"/>
      <c r="O617" s="417"/>
      <c r="P617" s="417"/>
      <c r="Q617" s="417"/>
      <c r="R617" s="417"/>
      <c r="S617" s="417"/>
      <c r="T617" s="417"/>
      <c r="U617" s="417"/>
      <c r="V617" s="417"/>
      <c r="W617" s="417"/>
      <c r="X617" s="417"/>
      <c r="Y617" s="417"/>
      <c r="Z617" s="417"/>
      <c r="AA617" s="417"/>
      <c r="AB617" s="417"/>
      <c r="AC617" s="417"/>
    </row>
    <row r="618" spans="2:29" x14ac:dyDescent="0.25">
      <c r="B618" s="417"/>
      <c r="C618" s="417"/>
      <c r="D618" s="417"/>
      <c r="E618" s="417"/>
      <c r="F618" s="417"/>
      <c r="G618" s="417"/>
      <c r="H618" s="417"/>
      <c r="I618" s="417"/>
      <c r="J618" s="417"/>
      <c r="K618" s="417"/>
      <c r="L618" s="417"/>
      <c r="M618" s="417"/>
      <c r="N618" s="417"/>
      <c r="O618" s="417"/>
      <c r="P618" s="417"/>
      <c r="Q618" s="417"/>
      <c r="R618" s="417"/>
      <c r="S618" s="417"/>
      <c r="T618" s="417"/>
      <c r="U618" s="417"/>
      <c r="V618" s="417"/>
      <c r="W618" s="417"/>
      <c r="X618" s="417"/>
      <c r="Y618" s="417"/>
      <c r="Z618" s="417"/>
      <c r="AA618" s="417"/>
      <c r="AB618" s="417"/>
      <c r="AC618" s="417"/>
    </row>
    <row r="619" spans="2:29" x14ac:dyDescent="0.25">
      <c r="B619" s="417"/>
      <c r="C619" s="417"/>
      <c r="D619" s="417"/>
      <c r="E619" s="417"/>
      <c r="F619" s="417"/>
      <c r="G619" s="417"/>
      <c r="H619" s="417"/>
      <c r="I619" s="417"/>
      <c r="J619" s="417"/>
      <c r="K619" s="417"/>
      <c r="L619" s="417"/>
      <c r="M619" s="417"/>
      <c r="N619" s="417"/>
      <c r="O619" s="417"/>
      <c r="P619" s="417"/>
      <c r="Q619" s="417"/>
      <c r="R619" s="417"/>
      <c r="S619" s="417"/>
      <c r="T619" s="417"/>
      <c r="U619" s="417"/>
      <c r="V619" s="417"/>
      <c r="W619" s="417"/>
      <c r="X619" s="417"/>
      <c r="Y619" s="417"/>
      <c r="Z619" s="417"/>
      <c r="AA619" s="417"/>
      <c r="AB619" s="417"/>
      <c r="AC619" s="417"/>
    </row>
    <row r="620" spans="2:29" x14ac:dyDescent="0.25">
      <c r="B620" s="417"/>
      <c r="C620" s="417"/>
      <c r="D620" s="417"/>
      <c r="E620" s="417"/>
      <c r="F620" s="417"/>
      <c r="G620" s="417"/>
      <c r="H620" s="417"/>
      <c r="I620" s="417"/>
      <c r="J620" s="417"/>
      <c r="K620" s="417"/>
      <c r="L620" s="417"/>
      <c r="M620" s="417"/>
      <c r="N620" s="417"/>
      <c r="O620" s="417"/>
      <c r="P620" s="417"/>
      <c r="Q620" s="417"/>
      <c r="R620" s="417"/>
      <c r="S620" s="417"/>
      <c r="T620" s="417"/>
      <c r="U620" s="417"/>
      <c r="V620" s="417"/>
      <c r="W620" s="417"/>
      <c r="X620" s="417"/>
      <c r="Y620" s="417"/>
      <c r="Z620" s="417"/>
      <c r="AA620" s="417"/>
      <c r="AB620" s="417"/>
      <c r="AC620" s="417"/>
    </row>
    <row r="621" spans="2:29" x14ac:dyDescent="0.25">
      <c r="B621" s="417"/>
      <c r="C621" s="417"/>
      <c r="D621" s="417"/>
      <c r="E621" s="417"/>
      <c r="F621" s="417"/>
      <c r="G621" s="417"/>
      <c r="H621" s="417"/>
      <c r="I621" s="417"/>
      <c r="J621" s="417"/>
      <c r="K621" s="417"/>
      <c r="L621" s="417"/>
      <c r="M621" s="417"/>
      <c r="N621" s="417"/>
      <c r="O621" s="417"/>
      <c r="P621" s="417"/>
      <c r="Q621" s="417"/>
      <c r="R621" s="417"/>
      <c r="S621" s="417"/>
      <c r="T621" s="417"/>
      <c r="U621" s="417"/>
      <c r="V621" s="417"/>
      <c r="W621" s="417"/>
      <c r="X621" s="417"/>
      <c r="Y621" s="417"/>
      <c r="Z621" s="417"/>
      <c r="AA621" s="417"/>
      <c r="AB621" s="417"/>
      <c r="AC621" s="417"/>
    </row>
    <row r="622" spans="2:29" x14ac:dyDescent="0.25">
      <c r="B622" s="417"/>
      <c r="C622" s="417"/>
      <c r="D622" s="417"/>
      <c r="E622" s="417"/>
      <c r="F622" s="417"/>
      <c r="G622" s="417"/>
      <c r="H622" s="417"/>
      <c r="I622" s="417"/>
      <c r="J622" s="417"/>
      <c r="K622" s="417"/>
      <c r="L622" s="417"/>
      <c r="M622" s="417"/>
      <c r="N622" s="417"/>
      <c r="O622" s="417"/>
      <c r="P622" s="417"/>
      <c r="Q622" s="417"/>
      <c r="R622" s="417"/>
      <c r="S622" s="417"/>
      <c r="T622" s="417"/>
      <c r="U622" s="417"/>
      <c r="V622" s="417"/>
      <c r="W622" s="417"/>
      <c r="X622" s="417"/>
      <c r="Y622" s="417"/>
      <c r="Z622" s="417"/>
      <c r="AA622" s="417"/>
      <c r="AB622" s="417"/>
      <c r="AC622" s="417"/>
    </row>
    <row r="623" spans="2:29" x14ac:dyDescent="0.25">
      <c r="B623" s="417"/>
      <c r="C623" s="417"/>
      <c r="D623" s="417"/>
      <c r="E623" s="417"/>
      <c r="F623" s="417"/>
      <c r="G623" s="417"/>
      <c r="H623" s="417"/>
      <c r="I623" s="417"/>
      <c r="J623" s="417"/>
      <c r="K623" s="417"/>
      <c r="L623" s="417"/>
      <c r="M623" s="417"/>
      <c r="N623" s="417"/>
      <c r="O623" s="417"/>
      <c r="P623" s="417"/>
      <c r="Q623" s="417"/>
      <c r="R623" s="417"/>
      <c r="S623" s="417"/>
      <c r="T623" s="417"/>
      <c r="U623" s="417"/>
      <c r="V623" s="417"/>
      <c r="W623" s="417"/>
      <c r="X623" s="417"/>
      <c r="Y623" s="417"/>
      <c r="Z623" s="417"/>
      <c r="AA623" s="417"/>
      <c r="AB623" s="417"/>
      <c r="AC623" s="417"/>
    </row>
    <row r="624" spans="2:29" x14ac:dyDescent="0.25">
      <c r="B624" s="417"/>
      <c r="C624" s="417"/>
      <c r="D624" s="417"/>
      <c r="E624" s="417"/>
      <c r="F624" s="417"/>
      <c r="G624" s="417"/>
      <c r="H624" s="417"/>
      <c r="I624" s="417"/>
      <c r="J624" s="417"/>
      <c r="K624" s="417"/>
      <c r="L624" s="417"/>
      <c r="M624" s="417"/>
      <c r="N624" s="417"/>
      <c r="O624" s="417"/>
      <c r="P624" s="417"/>
      <c r="Q624" s="417"/>
      <c r="R624" s="417"/>
      <c r="S624" s="417"/>
      <c r="T624" s="417"/>
      <c r="U624" s="417"/>
      <c r="V624" s="417"/>
      <c r="W624" s="417"/>
      <c r="X624" s="417"/>
      <c r="Y624" s="417"/>
      <c r="Z624" s="417"/>
      <c r="AA624" s="417"/>
      <c r="AB624" s="417"/>
      <c r="AC624" s="417"/>
    </row>
    <row r="625" spans="2:29" x14ac:dyDescent="0.25">
      <c r="B625" s="417"/>
      <c r="C625" s="417"/>
      <c r="D625" s="417"/>
      <c r="E625" s="417"/>
      <c r="F625" s="417"/>
      <c r="G625" s="417"/>
      <c r="H625" s="417"/>
      <c r="I625" s="417"/>
      <c r="J625" s="417"/>
      <c r="K625" s="417"/>
      <c r="L625" s="417"/>
      <c r="M625" s="417"/>
      <c r="N625" s="417"/>
      <c r="O625" s="417"/>
      <c r="P625" s="417"/>
      <c r="Q625" s="417"/>
      <c r="R625" s="417"/>
      <c r="S625" s="417"/>
      <c r="T625" s="417"/>
      <c r="U625" s="417"/>
      <c r="V625" s="417"/>
      <c r="W625" s="417"/>
      <c r="X625" s="417"/>
      <c r="Y625" s="417"/>
      <c r="Z625" s="417"/>
      <c r="AA625" s="417"/>
      <c r="AB625" s="417"/>
      <c r="AC625" s="417"/>
    </row>
    <row r="626" spans="2:29" x14ac:dyDescent="0.25">
      <c r="B626" s="417"/>
      <c r="C626" s="417"/>
      <c r="D626" s="417"/>
      <c r="E626" s="417"/>
      <c r="F626" s="417"/>
      <c r="G626" s="417"/>
      <c r="H626" s="417"/>
      <c r="I626" s="417"/>
      <c r="J626" s="417"/>
      <c r="K626" s="417"/>
      <c r="L626" s="417"/>
      <c r="M626" s="417"/>
      <c r="N626" s="417"/>
      <c r="O626" s="417"/>
      <c r="P626" s="417"/>
      <c r="Q626" s="417"/>
      <c r="R626" s="417"/>
      <c r="S626" s="417"/>
      <c r="T626" s="417"/>
      <c r="U626" s="417"/>
      <c r="V626" s="417"/>
      <c r="W626" s="417"/>
      <c r="X626" s="417"/>
      <c r="Y626" s="417"/>
      <c r="Z626" s="417"/>
      <c r="AA626" s="417"/>
      <c r="AB626" s="417"/>
      <c r="AC626" s="417"/>
    </row>
    <row r="627" spans="2:29" x14ac:dyDescent="0.25">
      <c r="B627" s="417"/>
      <c r="C627" s="417"/>
      <c r="D627" s="417"/>
      <c r="E627" s="417"/>
      <c r="F627" s="417"/>
      <c r="G627" s="417"/>
      <c r="H627" s="417"/>
      <c r="I627" s="417"/>
      <c r="J627" s="417"/>
      <c r="K627" s="417"/>
      <c r="L627" s="417"/>
      <c r="M627" s="417"/>
      <c r="N627" s="417"/>
      <c r="O627" s="417"/>
      <c r="P627" s="417"/>
      <c r="Q627" s="417"/>
      <c r="R627" s="417"/>
      <c r="S627" s="417"/>
      <c r="T627" s="417"/>
      <c r="U627" s="417"/>
      <c r="V627" s="417"/>
      <c r="W627" s="417"/>
      <c r="X627" s="417"/>
      <c r="Y627" s="417"/>
      <c r="Z627" s="417"/>
      <c r="AA627" s="417"/>
      <c r="AB627" s="417"/>
      <c r="AC627" s="417"/>
    </row>
    <row r="628" spans="2:29" x14ac:dyDescent="0.25">
      <c r="B628" s="417"/>
      <c r="C628" s="417"/>
      <c r="D628" s="417"/>
      <c r="E628" s="417"/>
      <c r="F628" s="417"/>
      <c r="G628" s="417"/>
      <c r="H628" s="417"/>
      <c r="I628" s="417"/>
      <c r="J628" s="417"/>
      <c r="K628" s="417"/>
      <c r="L628" s="417"/>
      <c r="M628" s="417"/>
      <c r="N628" s="417"/>
      <c r="O628" s="417"/>
      <c r="P628" s="417"/>
      <c r="Q628" s="417"/>
      <c r="R628" s="417"/>
      <c r="S628" s="417"/>
      <c r="T628" s="417"/>
      <c r="U628" s="417"/>
      <c r="V628" s="417"/>
      <c r="W628" s="417"/>
      <c r="X628" s="417"/>
      <c r="Y628" s="417"/>
      <c r="Z628" s="417"/>
      <c r="AA628" s="417"/>
      <c r="AB628" s="417"/>
      <c r="AC628" s="417"/>
    </row>
    <row r="629" spans="2:29" x14ac:dyDescent="0.25">
      <c r="B629" s="417"/>
      <c r="C629" s="417"/>
      <c r="D629" s="417"/>
      <c r="E629" s="417"/>
      <c r="F629" s="417"/>
      <c r="G629" s="417"/>
      <c r="H629" s="417"/>
      <c r="I629" s="417"/>
      <c r="J629" s="417"/>
      <c r="K629" s="417"/>
      <c r="L629" s="417"/>
      <c r="M629" s="417"/>
      <c r="N629" s="417"/>
      <c r="O629" s="417"/>
      <c r="P629" s="417"/>
      <c r="Q629" s="417"/>
      <c r="R629" s="417"/>
      <c r="S629" s="417"/>
      <c r="T629" s="417"/>
      <c r="U629" s="417"/>
      <c r="V629" s="417"/>
      <c r="W629" s="417"/>
      <c r="X629" s="417"/>
      <c r="Y629" s="417"/>
      <c r="Z629" s="417"/>
      <c r="AA629" s="417"/>
      <c r="AB629" s="417"/>
      <c r="AC629" s="417"/>
    </row>
    <row r="630" spans="2:29" x14ac:dyDescent="0.25">
      <c r="B630" s="417"/>
      <c r="C630" s="417"/>
      <c r="D630" s="417"/>
      <c r="E630" s="417"/>
      <c r="F630" s="417"/>
      <c r="G630" s="417"/>
      <c r="H630" s="417"/>
      <c r="I630" s="417"/>
      <c r="J630" s="417"/>
      <c r="K630" s="417"/>
      <c r="L630" s="417"/>
      <c r="M630" s="417"/>
      <c r="N630" s="417"/>
      <c r="O630" s="417"/>
      <c r="P630" s="417"/>
      <c r="Q630" s="417"/>
      <c r="R630" s="417"/>
      <c r="S630" s="417"/>
      <c r="T630" s="417"/>
      <c r="U630" s="417"/>
      <c r="V630" s="417"/>
      <c r="W630" s="417"/>
      <c r="X630" s="417"/>
      <c r="Y630" s="417"/>
      <c r="Z630" s="417"/>
      <c r="AA630" s="417"/>
      <c r="AB630" s="417"/>
      <c r="AC630" s="417"/>
    </row>
    <row r="631" spans="2:29" x14ac:dyDescent="0.25">
      <c r="B631" s="417"/>
      <c r="C631" s="417"/>
      <c r="D631" s="417"/>
      <c r="E631" s="417"/>
      <c r="F631" s="417"/>
      <c r="G631" s="417"/>
      <c r="H631" s="417"/>
      <c r="I631" s="417"/>
      <c r="J631" s="417"/>
      <c r="K631" s="417"/>
      <c r="L631" s="417"/>
      <c r="M631" s="417"/>
      <c r="N631" s="417"/>
      <c r="O631" s="417"/>
      <c r="P631" s="417"/>
      <c r="Q631" s="417"/>
      <c r="R631" s="417"/>
      <c r="S631" s="417"/>
      <c r="T631" s="417"/>
      <c r="U631" s="417"/>
      <c r="V631" s="417"/>
      <c r="W631" s="417"/>
      <c r="X631" s="417"/>
      <c r="Y631" s="417"/>
      <c r="Z631" s="417"/>
      <c r="AA631" s="417"/>
      <c r="AB631" s="417"/>
      <c r="AC631" s="417"/>
    </row>
    <row r="632" spans="2:29" x14ac:dyDescent="0.25">
      <c r="B632" s="417"/>
      <c r="C632" s="417"/>
      <c r="D632" s="417"/>
      <c r="E632" s="417"/>
      <c r="F632" s="417"/>
      <c r="G632" s="417"/>
      <c r="H632" s="417"/>
      <c r="I632" s="417"/>
      <c r="J632" s="417"/>
      <c r="K632" s="417"/>
      <c r="L632" s="417"/>
      <c r="M632" s="417"/>
      <c r="N632" s="417"/>
      <c r="O632" s="417"/>
      <c r="P632" s="417"/>
      <c r="Q632" s="417"/>
      <c r="R632" s="417"/>
      <c r="S632" s="417"/>
      <c r="T632" s="417"/>
      <c r="U632" s="417"/>
      <c r="V632" s="417"/>
      <c r="W632" s="417"/>
      <c r="X632" s="417"/>
      <c r="Y632" s="417"/>
      <c r="Z632" s="417"/>
      <c r="AA632" s="417"/>
      <c r="AB632" s="417"/>
      <c r="AC632" s="417"/>
    </row>
    <row r="633" spans="2:29" x14ac:dyDescent="0.25">
      <c r="B633" s="417"/>
      <c r="C633" s="417"/>
      <c r="D633" s="417"/>
      <c r="E633" s="417"/>
      <c r="F633" s="417"/>
      <c r="G633" s="417"/>
      <c r="H633" s="417"/>
      <c r="I633" s="417"/>
      <c r="J633" s="417"/>
      <c r="K633" s="417"/>
      <c r="L633" s="417"/>
      <c r="M633" s="417"/>
      <c r="N633" s="417"/>
      <c r="O633" s="417"/>
      <c r="P633" s="417"/>
      <c r="Q633" s="417"/>
      <c r="R633" s="417"/>
      <c r="S633" s="417"/>
      <c r="T633" s="417"/>
      <c r="U633" s="417"/>
      <c r="V633" s="417"/>
      <c r="W633" s="417"/>
      <c r="X633" s="417"/>
      <c r="Y633" s="417"/>
      <c r="Z633" s="417"/>
      <c r="AA633" s="417"/>
      <c r="AB633" s="417"/>
      <c r="AC633" s="417"/>
    </row>
    <row r="634" spans="2:29" x14ac:dyDescent="0.25">
      <c r="B634" s="417"/>
      <c r="C634" s="417"/>
      <c r="D634" s="417"/>
      <c r="E634" s="417"/>
      <c r="F634" s="417"/>
      <c r="G634" s="417"/>
      <c r="H634" s="417"/>
      <c r="I634" s="417"/>
      <c r="J634" s="417"/>
      <c r="K634" s="417"/>
      <c r="L634" s="417"/>
      <c r="M634" s="417"/>
      <c r="N634" s="417"/>
      <c r="O634" s="417"/>
      <c r="P634" s="417"/>
      <c r="Q634" s="417"/>
      <c r="R634" s="417"/>
      <c r="S634" s="417"/>
      <c r="T634" s="417"/>
      <c r="U634" s="417"/>
      <c r="V634" s="417"/>
      <c r="W634" s="417"/>
      <c r="X634" s="417"/>
      <c r="Y634" s="417"/>
      <c r="Z634" s="417"/>
      <c r="AA634" s="417"/>
      <c r="AB634" s="417"/>
      <c r="AC634" s="417"/>
    </row>
    <row r="635" spans="2:29" x14ac:dyDescent="0.25">
      <c r="B635" s="417"/>
      <c r="C635" s="417"/>
      <c r="D635" s="417"/>
      <c r="E635" s="417"/>
      <c r="F635" s="417"/>
      <c r="G635" s="417"/>
      <c r="H635" s="417"/>
      <c r="I635" s="417"/>
      <c r="J635" s="417"/>
      <c r="K635" s="417"/>
      <c r="L635" s="417"/>
      <c r="M635" s="417"/>
      <c r="N635" s="417"/>
      <c r="O635" s="417"/>
      <c r="P635" s="417"/>
      <c r="Q635" s="417"/>
      <c r="R635" s="417"/>
      <c r="S635" s="417"/>
      <c r="T635" s="417"/>
      <c r="U635" s="417"/>
      <c r="V635" s="417"/>
      <c r="W635" s="417"/>
      <c r="X635" s="417"/>
      <c r="Y635" s="417"/>
      <c r="Z635" s="417"/>
      <c r="AA635" s="417"/>
      <c r="AB635" s="417"/>
      <c r="AC635" s="417"/>
    </row>
    <row r="636" spans="2:29" x14ac:dyDescent="0.25">
      <c r="B636" s="417"/>
      <c r="C636" s="417"/>
      <c r="D636" s="417"/>
      <c r="E636" s="417"/>
      <c r="F636" s="417"/>
      <c r="G636" s="417"/>
      <c r="H636" s="417"/>
      <c r="I636" s="417"/>
      <c r="J636" s="417"/>
      <c r="K636" s="417"/>
      <c r="L636" s="417"/>
      <c r="M636" s="417"/>
      <c r="N636" s="417"/>
      <c r="O636" s="417"/>
      <c r="P636" s="417"/>
      <c r="Q636" s="417"/>
      <c r="R636" s="417"/>
      <c r="S636" s="417"/>
      <c r="T636" s="417"/>
      <c r="U636" s="417"/>
      <c r="V636" s="417"/>
      <c r="W636" s="417"/>
      <c r="X636" s="417"/>
      <c r="Y636" s="417"/>
      <c r="Z636" s="417"/>
      <c r="AA636" s="417"/>
      <c r="AB636" s="417"/>
      <c r="AC636" s="417"/>
    </row>
    <row r="637" spans="2:29" x14ac:dyDescent="0.25">
      <c r="B637" s="417"/>
      <c r="C637" s="417"/>
      <c r="D637" s="417"/>
      <c r="E637" s="417"/>
      <c r="F637" s="417"/>
      <c r="G637" s="417"/>
      <c r="H637" s="417"/>
      <c r="I637" s="417"/>
      <c r="J637" s="417"/>
      <c r="K637" s="417"/>
      <c r="L637" s="417"/>
      <c r="M637" s="417"/>
      <c r="N637" s="417"/>
      <c r="O637" s="417"/>
      <c r="P637" s="417"/>
      <c r="Q637" s="417"/>
      <c r="R637" s="417"/>
      <c r="S637" s="417"/>
      <c r="T637" s="417"/>
      <c r="U637" s="417"/>
      <c r="V637" s="417"/>
      <c r="W637" s="417"/>
      <c r="X637" s="417"/>
      <c r="Y637" s="417"/>
      <c r="Z637" s="417"/>
      <c r="AA637" s="417"/>
      <c r="AB637" s="417"/>
      <c r="AC637" s="417"/>
    </row>
    <row r="638" spans="2:29" x14ac:dyDescent="0.25">
      <c r="B638" s="417"/>
      <c r="C638" s="417"/>
      <c r="D638" s="417"/>
      <c r="E638" s="417"/>
      <c r="F638" s="417"/>
      <c r="G638" s="417"/>
      <c r="H638" s="417"/>
      <c r="I638" s="417"/>
      <c r="J638" s="417"/>
      <c r="K638" s="417"/>
      <c r="L638" s="417"/>
      <c r="M638" s="417"/>
      <c r="N638" s="417"/>
      <c r="O638" s="417"/>
      <c r="P638" s="417"/>
      <c r="Q638" s="417"/>
      <c r="R638" s="417"/>
      <c r="S638" s="417"/>
      <c r="T638" s="417"/>
      <c r="U638" s="417"/>
      <c r="V638" s="417"/>
      <c r="W638" s="417"/>
      <c r="X638" s="417"/>
      <c r="Y638" s="417"/>
      <c r="Z638" s="417"/>
      <c r="AA638" s="417"/>
      <c r="AB638" s="417"/>
      <c r="AC638" s="417"/>
    </row>
    <row r="639" spans="2:29" x14ac:dyDescent="0.25">
      <c r="B639" s="417"/>
      <c r="C639" s="417"/>
      <c r="D639" s="417"/>
      <c r="E639" s="417"/>
      <c r="F639" s="417"/>
      <c r="G639" s="417"/>
      <c r="H639" s="417"/>
      <c r="I639" s="417"/>
      <c r="J639" s="417"/>
      <c r="K639" s="417"/>
      <c r="L639" s="417"/>
      <c r="M639" s="417"/>
      <c r="N639" s="417"/>
      <c r="O639" s="417"/>
      <c r="P639" s="417"/>
      <c r="Q639" s="417"/>
      <c r="R639" s="417"/>
      <c r="S639" s="417"/>
      <c r="T639" s="417"/>
      <c r="U639" s="417"/>
      <c r="V639" s="417"/>
      <c r="W639" s="417"/>
      <c r="X639" s="417"/>
      <c r="Y639" s="417"/>
      <c r="Z639" s="417"/>
      <c r="AA639" s="417"/>
      <c r="AB639" s="417"/>
      <c r="AC639" s="417"/>
    </row>
    <row r="640" spans="2:29" x14ac:dyDescent="0.25">
      <c r="B640" s="417"/>
      <c r="C640" s="417"/>
      <c r="D640" s="417"/>
      <c r="E640" s="417"/>
      <c r="F640" s="417"/>
      <c r="G640" s="417"/>
      <c r="H640" s="417"/>
      <c r="I640" s="417"/>
      <c r="J640" s="417"/>
      <c r="K640" s="417"/>
      <c r="L640" s="417"/>
      <c r="M640" s="417"/>
      <c r="N640" s="417"/>
      <c r="O640" s="417"/>
      <c r="P640" s="417"/>
      <c r="Q640" s="417"/>
      <c r="R640" s="417"/>
      <c r="S640" s="417"/>
      <c r="T640" s="417"/>
      <c r="U640" s="417"/>
      <c r="V640" s="417"/>
      <c r="W640" s="417"/>
      <c r="X640" s="417"/>
      <c r="Y640" s="417"/>
      <c r="Z640" s="417"/>
      <c r="AA640" s="417"/>
      <c r="AB640" s="417"/>
      <c r="AC640" s="417"/>
    </row>
    <row r="641" spans="2:29" x14ac:dyDescent="0.25">
      <c r="B641" s="417"/>
      <c r="C641" s="417"/>
      <c r="D641" s="417"/>
      <c r="E641" s="417"/>
      <c r="F641" s="417"/>
      <c r="G641" s="417"/>
      <c r="H641" s="417"/>
      <c r="I641" s="417"/>
      <c r="J641" s="417"/>
      <c r="K641" s="417"/>
      <c r="L641" s="417"/>
      <c r="M641" s="417"/>
      <c r="N641" s="417"/>
      <c r="O641" s="417"/>
      <c r="P641" s="417"/>
      <c r="Q641" s="417"/>
      <c r="R641" s="417"/>
      <c r="S641" s="417"/>
      <c r="T641" s="417"/>
      <c r="U641" s="417"/>
      <c r="V641" s="417"/>
      <c r="W641" s="417"/>
      <c r="X641" s="417"/>
      <c r="Y641" s="417"/>
      <c r="Z641" s="417"/>
      <c r="AA641" s="417"/>
      <c r="AB641" s="417"/>
      <c r="AC641" s="417"/>
    </row>
    <row r="642" spans="2:29" x14ac:dyDescent="0.25">
      <c r="B642" s="417"/>
      <c r="C642" s="417"/>
      <c r="D642" s="417"/>
      <c r="E642" s="417"/>
      <c r="F642" s="417"/>
      <c r="G642" s="417"/>
      <c r="H642" s="417"/>
      <c r="I642" s="417"/>
      <c r="J642" s="417"/>
      <c r="K642" s="417"/>
      <c r="L642" s="417"/>
      <c r="M642" s="417"/>
      <c r="N642" s="417"/>
      <c r="O642" s="417"/>
      <c r="P642" s="417"/>
      <c r="Q642" s="417"/>
      <c r="R642" s="417"/>
      <c r="S642" s="417"/>
      <c r="T642" s="417"/>
      <c r="U642" s="417"/>
      <c r="V642" s="417"/>
      <c r="W642" s="417"/>
      <c r="X642" s="417"/>
      <c r="Y642" s="417"/>
      <c r="Z642" s="417"/>
      <c r="AA642" s="417"/>
      <c r="AB642" s="417"/>
      <c r="AC642" s="417"/>
    </row>
    <row r="643" spans="2:29" x14ac:dyDescent="0.25">
      <c r="B643" s="417"/>
      <c r="C643" s="417"/>
      <c r="D643" s="417"/>
      <c r="E643" s="417"/>
      <c r="F643" s="417"/>
      <c r="G643" s="417"/>
      <c r="H643" s="417"/>
      <c r="I643" s="417"/>
      <c r="J643" s="417"/>
      <c r="K643" s="417"/>
      <c r="L643" s="417"/>
      <c r="M643" s="417"/>
      <c r="N643" s="417"/>
      <c r="O643" s="417"/>
      <c r="P643" s="417"/>
      <c r="Q643" s="417"/>
      <c r="R643" s="417"/>
      <c r="S643" s="417"/>
      <c r="T643" s="417"/>
      <c r="U643" s="417"/>
      <c r="V643" s="417"/>
      <c r="W643" s="417"/>
      <c r="X643" s="417"/>
      <c r="Y643" s="417"/>
      <c r="Z643" s="417"/>
      <c r="AA643" s="417"/>
      <c r="AB643" s="417"/>
      <c r="AC643" s="417"/>
    </row>
    <row r="644" spans="2:29" x14ac:dyDescent="0.25">
      <c r="B644" s="417"/>
      <c r="C644" s="417"/>
      <c r="D644" s="417"/>
      <c r="E644" s="417"/>
      <c r="F644" s="417"/>
      <c r="G644" s="417"/>
      <c r="H644" s="417"/>
      <c r="I644" s="417"/>
      <c r="J644" s="417"/>
      <c r="K644" s="417"/>
      <c r="L644" s="417"/>
      <c r="M644" s="417"/>
      <c r="N644" s="417"/>
      <c r="O644" s="417"/>
      <c r="P644" s="417"/>
      <c r="Q644" s="417"/>
      <c r="R644" s="417"/>
      <c r="S644" s="417"/>
      <c r="T644" s="417"/>
      <c r="U644" s="417"/>
      <c r="V644" s="417"/>
      <c r="W644" s="417"/>
      <c r="X644" s="417"/>
      <c r="Y644" s="417"/>
      <c r="Z644" s="417"/>
      <c r="AA644" s="417"/>
      <c r="AB644" s="417"/>
      <c r="AC644" s="417"/>
    </row>
    <row r="645" spans="2:29" x14ac:dyDescent="0.25">
      <c r="B645" s="417"/>
      <c r="C645" s="417"/>
      <c r="D645" s="417"/>
      <c r="E645" s="417"/>
      <c r="F645" s="417"/>
      <c r="G645" s="417"/>
      <c r="H645" s="417"/>
      <c r="I645" s="417"/>
      <c r="J645" s="417"/>
      <c r="K645" s="417"/>
      <c r="L645" s="417"/>
      <c r="M645" s="417"/>
      <c r="N645" s="417"/>
      <c r="O645" s="417"/>
      <c r="P645" s="417"/>
      <c r="Q645" s="417"/>
      <c r="R645" s="417"/>
      <c r="S645" s="417"/>
      <c r="T645" s="417"/>
      <c r="U645" s="417"/>
      <c r="V645" s="417"/>
      <c r="W645" s="417"/>
      <c r="X645" s="417"/>
      <c r="Y645" s="417"/>
      <c r="Z645" s="417"/>
      <c r="AA645" s="417"/>
      <c r="AB645" s="417"/>
      <c r="AC645" s="417"/>
    </row>
    <row r="646" spans="2:29" x14ac:dyDescent="0.25">
      <c r="B646" s="417"/>
      <c r="C646" s="417"/>
      <c r="D646" s="417"/>
      <c r="E646" s="417"/>
      <c r="F646" s="417"/>
      <c r="G646" s="417"/>
      <c r="H646" s="417"/>
      <c r="I646" s="417"/>
      <c r="J646" s="417"/>
      <c r="K646" s="417"/>
      <c r="L646" s="417"/>
      <c r="M646" s="417"/>
      <c r="N646" s="417"/>
      <c r="O646" s="417"/>
      <c r="P646" s="417"/>
      <c r="Q646" s="417"/>
      <c r="R646" s="417"/>
      <c r="S646" s="417"/>
      <c r="T646" s="417"/>
      <c r="U646" s="417"/>
      <c r="V646" s="417"/>
      <c r="W646" s="417"/>
      <c r="X646" s="417"/>
      <c r="Y646" s="417"/>
      <c r="Z646" s="417"/>
      <c r="AA646" s="417"/>
      <c r="AB646" s="417"/>
      <c r="AC646" s="417"/>
    </row>
    <row r="647" spans="2:29" x14ac:dyDescent="0.25">
      <c r="B647" s="417"/>
      <c r="C647" s="417"/>
      <c r="D647" s="417"/>
      <c r="E647" s="417"/>
      <c r="F647" s="417"/>
      <c r="G647" s="417"/>
      <c r="H647" s="417"/>
      <c r="I647" s="417"/>
      <c r="J647" s="417"/>
      <c r="K647" s="417"/>
      <c r="L647" s="417"/>
      <c r="M647" s="417"/>
      <c r="N647" s="417"/>
      <c r="O647" s="417"/>
      <c r="P647" s="417"/>
      <c r="Q647" s="417"/>
      <c r="R647" s="417"/>
      <c r="S647" s="417"/>
      <c r="T647" s="417"/>
      <c r="U647" s="417"/>
      <c r="V647" s="417"/>
      <c r="W647" s="417"/>
      <c r="X647" s="417"/>
      <c r="Y647" s="417"/>
      <c r="Z647" s="417"/>
      <c r="AA647" s="417"/>
      <c r="AB647" s="417"/>
      <c r="AC647" s="417"/>
    </row>
    <row r="648" spans="2:29" x14ac:dyDescent="0.25">
      <c r="B648" s="417"/>
      <c r="C648" s="417"/>
      <c r="D648" s="417"/>
      <c r="E648" s="417"/>
      <c r="F648" s="417"/>
      <c r="G648" s="417"/>
      <c r="H648" s="417"/>
      <c r="I648" s="417"/>
      <c r="J648" s="417"/>
      <c r="K648" s="417"/>
      <c r="L648" s="417"/>
      <c r="M648" s="417"/>
      <c r="N648" s="417"/>
      <c r="O648" s="417"/>
      <c r="P648" s="417"/>
      <c r="Q648" s="417"/>
      <c r="R648" s="417"/>
      <c r="S648" s="417"/>
      <c r="T648" s="417"/>
      <c r="U648" s="417"/>
      <c r="V648" s="417"/>
      <c r="W648" s="417"/>
      <c r="X648" s="417"/>
      <c r="Y648" s="417"/>
      <c r="Z648" s="417"/>
      <c r="AA648" s="417"/>
      <c r="AB648" s="417"/>
      <c r="AC648" s="417"/>
    </row>
    <row r="649" spans="2:29" x14ac:dyDescent="0.25">
      <c r="B649" s="417"/>
      <c r="C649" s="417"/>
      <c r="D649" s="417"/>
      <c r="E649" s="417"/>
      <c r="F649" s="417"/>
      <c r="G649" s="417"/>
      <c r="H649" s="417"/>
      <c r="I649" s="417"/>
      <c r="J649" s="417"/>
      <c r="K649" s="417"/>
      <c r="L649" s="417"/>
      <c r="M649" s="417"/>
      <c r="N649" s="417"/>
      <c r="O649" s="417"/>
      <c r="P649" s="417"/>
      <c r="Q649" s="417"/>
      <c r="R649" s="417"/>
      <c r="S649" s="417"/>
      <c r="T649" s="417"/>
      <c r="U649" s="417"/>
      <c r="V649" s="417"/>
      <c r="W649" s="417"/>
      <c r="X649" s="417"/>
      <c r="Y649" s="417"/>
      <c r="Z649" s="417"/>
      <c r="AA649" s="417"/>
      <c r="AB649" s="417"/>
      <c r="AC649" s="417"/>
    </row>
    <row r="650" spans="2:29" x14ac:dyDescent="0.25">
      <c r="B650" s="417"/>
      <c r="C650" s="417"/>
      <c r="D650" s="417"/>
      <c r="E650" s="417"/>
      <c r="F650" s="417"/>
      <c r="G650" s="417"/>
      <c r="H650" s="417"/>
      <c r="I650" s="417"/>
      <c r="J650" s="417"/>
      <c r="K650" s="417"/>
      <c r="L650" s="417"/>
      <c r="M650" s="417"/>
      <c r="N650" s="417"/>
      <c r="O650" s="417"/>
      <c r="P650" s="417"/>
      <c r="Q650" s="417"/>
      <c r="R650" s="417"/>
      <c r="S650" s="417"/>
      <c r="T650" s="417"/>
      <c r="U650" s="417"/>
      <c r="V650" s="417"/>
      <c r="W650" s="417"/>
      <c r="X650" s="417"/>
      <c r="Y650" s="417"/>
      <c r="Z650" s="417"/>
      <c r="AA650" s="417"/>
      <c r="AB650" s="417"/>
      <c r="AC650" s="417"/>
    </row>
    <row r="651" spans="2:29" x14ac:dyDescent="0.25">
      <c r="B651" s="417"/>
      <c r="C651" s="417"/>
      <c r="D651" s="417"/>
      <c r="E651" s="417"/>
      <c r="F651" s="417"/>
      <c r="G651" s="417"/>
      <c r="H651" s="417"/>
      <c r="I651" s="417"/>
      <c r="J651" s="417"/>
      <c r="K651" s="417"/>
      <c r="L651" s="417"/>
      <c r="M651" s="417"/>
      <c r="N651" s="417"/>
      <c r="O651" s="417"/>
      <c r="P651" s="417"/>
      <c r="Q651" s="417"/>
      <c r="R651" s="417"/>
      <c r="S651" s="417"/>
      <c r="T651" s="417"/>
      <c r="U651" s="417"/>
      <c r="V651" s="417"/>
      <c r="W651" s="417"/>
      <c r="X651" s="417"/>
      <c r="Y651" s="417"/>
      <c r="Z651" s="417"/>
      <c r="AA651" s="417"/>
      <c r="AB651" s="417"/>
      <c r="AC651" s="417"/>
    </row>
    <row r="652" spans="2:29" x14ac:dyDescent="0.25">
      <c r="B652" s="417"/>
      <c r="C652" s="417"/>
      <c r="D652" s="417"/>
      <c r="E652" s="417"/>
      <c r="F652" s="417"/>
      <c r="G652" s="417"/>
      <c r="H652" s="417"/>
      <c r="I652" s="417"/>
      <c r="J652" s="417"/>
      <c r="K652" s="417"/>
      <c r="L652" s="417"/>
      <c r="M652" s="417"/>
      <c r="N652" s="417"/>
      <c r="O652" s="417"/>
      <c r="P652" s="417"/>
      <c r="Q652" s="417"/>
      <c r="R652" s="417"/>
      <c r="S652" s="417"/>
      <c r="T652" s="417"/>
      <c r="U652" s="417"/>
      <c r="V652" s="417"/>
      <c r="W652" s="417"/>
      <c r="X652" s="417"/>
      <c r="Y652" s="417"/>
      <c r="Z652" s="417"/>
      <c r="AA652" s="417"/>
      <c r="AB652" s="417"/>
      <c r="AC652" s="417"/>
    </row>
    <row r="653" spans="2:29" x14ac:dyDescent="0.25">
      <c r="B653" s="417"/>
      <c r="C653" s="417"/>
      <c r="D653" s="417"/>
      <c r="E653" s="417"/>
      <c r="F653" s="417"/>
      <c r="G653" s="417"/>
      <c r="H653" s="417"/>
      <c r="I653" s="417"/>
      <c r="J653" s="417"/>
      <c r="K653" s="417"/>
      <c r="L653" s="417"/>
      <c r="M653" s="417"/>
      <c r="N653" s="417"/>
      <c r="O653" s="417"/>
      <c r="P653" s="417"/>
      <c r="Q653" s="417"/>
      <c r="R653" s="417"/>
      <c r="S653" s="417"/>
      <c r="T653" s="417"/>
      <c r="U653" s="417"/>
      <c r="V653" s="417"/>
      <c r="W653" s="417"/>
      <c r="X653" s="417"/>
      <c r="Y653" s="417"/>
      <c r="Z653" s="417"/>
      <c r="AA653" s="417"/>
      <c r="AB653" s="417"/>
      <c r="AC653" s="417"/>
    </row>
    <row r="654" spans="2:29" x14ac:dyDescent="0.25">
      <c r="B654" s="417"/>
      <c r="C654" s="417"/>
      <c r="D654" s="417"/>
      <c r="E654" s="417"/>
      <c r="F654" s="417"/>
      <c r="G654" s="417"/>
      <c r="H654" s="417"/>
      <c r="I654" s="417"/>
      <c r="J654" s="417"/>
      <c r="K654" s="417"/>
      <c r="L654" s="417"/>
      <c r="M654" s="417"/>
      <c r="N654" s="417"/>
      <c r="O654" s="417"/>
      <c r="P654" s="417"/>
      <c r="Q654" s="417"/>
      <c r="R654" s="417"/>
      <c r="S654" s="417"/>
      <c r="T654" s="417"/>
      <c r="U654" s="417"/>
      <c r="V654" s="417"/>
      <c r="W654" s="417"/>
      <c r="X654" s="417"/>
      <c r="Y654" s="417"/>
      <c r="Z654" s="417"/>
      <c r="AA654" s="417"/>
      <c r="AB654" s="417"/>
      <c r="AC654" s="417"/>
    </row>
    <row r="655" spans="2:29" x14ac:dyDescent="0.25">
      <c r="B655" s="417"/>
      <c r="C655" s="417"/>
      <c r="D655" s="417"/>
      <c r="E655" s="417"/>
      <c r="F655" s="417"/>
      <c r="G655" s="417"/>
      <c r="H655" s="417"/>
      <c r="I655" s="417"/>
      <c r="J655" s="417"/>
      <c r="K655" s="417"/>
      <c r="L655" s="417"/>
      <c r="M655" s="417"/>
      <c r="N655" s="417"/>
      <c r="O655" s="417"/>
      <c r="P655" s="417"/>
      <c r="Q655" s="417"/>
      <c r="R655" s="417"/>
      <c r="S655" s="417"/>
      <c r="T655" s="417"/>
      <c r="U655" s="417"/>
      <c r="V655" s="417"/>
      <c r="W655" s="417"/>
      <c r="X655" s="417"/>
      <c r="Y655" s="417"/>
      <c r="Z655" s="417"/>
      <c r="AA655" s="417"/>
      <c r="AB655" s="417"/>
      <c r="AC655" s="417"/>
    </row>
    <row r="656" spans="2:29" x14ac:dyDescent="0.25">
      <c r="B656" s="417"/>
      <c r="C656" s="417"/>
      <c r="D656" s="417"/>
      <c r="E656" s="417"/>
      <c r="F656" s="417"/>
      <c r="G656" s="417"/>
      <c r="H656" s="417"/>
      <c r="I656" s="417"/>
      <c r="J656" s="417"/>
      <c r="K656" s="417"/>
      <c r="L656" s="417"/>
      <c r="M656" s="417"/>
      <c r="N656" s="417"/>
      <c r="O656" s="417"/>
      <c r="P656" s="417"/>
      <c r="Q656" s="417"/>
      <c r="R656" s="417"/>
      <c r="S656" s="417"/>
      <c r="T656" s="417"/>
      <c r="U656" s="417"/>
      <c r="V656" s="417"/>
      <c r="W656" s="417"/>
      <c r="X656" s="417"/>
      <c r="Y656" s="417"/>
      <c r="Z656" s="417"/>
      <c r="AA656" s="417"/>
      <c r="AB656" s="417"/>
      <c r="AC656" s="417"/>
    </row>
    <row r="657" spans="2:29" x14ac:dyDescent="0.25">
      <c r="B657" s="417"/>
      <c r="C657" s="417"/>
      <c r="D657" s="417"/>
      <c r="E657" s="417"/>
      <c r="F657" s="417"/>
      <c r="G657" s="417"/>
      <c r="H657" s="417"/>
      <c r="I657" s="417"/>
      <c r="J657" s="417"/>
      <c r="K657" s="417"/>
      <c r="L657" s="417"/>
      <c r="M657" s="417"/>
      <c r="N657" s="417"/>
      <c r="O657" s="417"/>
      <c r="P657" s="417"/>
      <c r="Q657" s="417"/>
      <c r="R657" s="417"/>
      <c r="S657" s="417"/>
      <c r="T657" s="417"/>
      <c r="U657" s="417"/>
      <c r="V657" s="417"/>
      <c r="W657" s="417"/>
      <c r="X657" s="417"/>
      <c r="Y657" s="417"/>
      <c r="Z657" s="417"/>
      <c r="AA657" s="417"/>
      <c r="AB657" s="417"/>
      <c r="AC657" s="417"/>
    </row>
    <row r="658" spans="2:29" x14ac:dyDescent="0.25">
      <c r="B658" s="417"/>
      <c r="C658" s="417"/>
      <c r="D658" s="417"/>
      <c r="E658" s="417"/>
      <c r="F658" s="417"/>
      <c r="G658" s="417"/>
      <c r="H658" s="417"/>
      <c r="I658" s="417"/>
      <c r="J658" s="417"/>
      <c r="K658" s="417"/>
      <c r="L658" s="417"/>
      <c r="M658" s="417"/>
      <c r="N658" s="417"/>
      <c r="O658" s="417"/>
      <c r="P658" s="417"/>
      <c r="Q658" s="417"/>
      <c r="R658" s="417"/>
      <c r="S658" s="417"/>
      <c r="T658" s="417"/>
      <c r="U658" s="417"/>
      <c r="V658" s="417"/>
      <c r="W658" s="417"/>
      <c r="X658" s="417"/>
      <c r="Y658" s="417"/>
      <c r="Z658" s="417"/>
      <c r="AA658" s="417"/>
      <c r="AB658" s="417"/>
      <c r="AC658" s="417"/>
    </row>
    <row r="659" spans="2:29" x14ac:dyDescent="0.25">
      <c r="B659" s="417"/>
      <c r="C659" s="417"/>
      <c r="D659" s="417"/>
      <c r="E659" s="417"/>
      <c r="F659" s="417"/>
      <c r="G659" s="417"/>
      <c r="H659" s="417"/>
      <c r="I659" s="417"/>
      <c r="J659" s="417"/>
      <c r="K659" s="417"/>
      <c r="L659" s="417"/>
      <c r="M659" s="417"/>
      <c r="N659" s="417"/>
      <c r="O659" s="417"/>
      <c r="P659" s="417"/>
      <c r="Q659" s="417"/>
      <c r="R659" s="417"/>
      <c r="S659" s="417"/>
      <c r="T659" s="417"/>
      <c r="U659" s="417"/>
      <c r="V659" s="417"/>
      <c r="W659" s="417"/>
      <c r="X659" s="417"/>
      <c r="Y659" s="417"/>
      <c r="Z659" s="417"/>
      <c r="AA659" s="417"/>
      <c r="AB659" s="417"/>
      <c r="AC659" s="417"/>
    </row>
    <row r="660" spans="2:29" x14ac:dyDescent="0.25">
      <c r="B660" s="417"/>
      <c r="C660" s="417"/>
      <c r="D660" s="417"/>
      <c r="E660" s="417"/>
      <c r="F660" s="417"/>
      <c r="G660" s="417"/>
      <c r="H660" s="417"/>
      <c r="I660" s="417"/>
      <c r="J660" s="417"/>
      <c r="K660" s="417"/>
      <c r="L660" s="417"/>
      <c r="M660" s="417"/>
      <c r="N660" s="417"/>
      <c r="O660" s="417"/>
      <c r="P660" s="417"/>
      <c r="Q660" s="417"/>
      <c r="R660" s="417"/>
      <c r="S660" s="417"/>
      <c r="T660" s="417"/>
      <c r="U660" s="417"/>
      <c r="V660" s="417"/>
      <c r="W660" s="417"/>
      <c r="X660" s="417"/>
      <c r="Y660" s="417"/>
      <c r="Z660" s="417"/>
      <c r="AA660" s="417"/>
      <c r="AB660" s="417"/>
      <c r="AC660" s="417"/>
    </row>
    <row r="661" spans="2:29" x14ac:dyDescent="0.25">
      <c r="B661" s="417"/>
      <c r="C661" s="417"/>
      <c r="D661" s="417"/>
      <c r="E661" s="417"/>
      <c r="F661" s="417"/>
      <c r="G661" s="417"/>
      <c r="H661" s="417"/>
      <c r="I661" s="417"/>
      <c r="J661" s="417"/>
      <c r="K661" s="417"/>
      <c r="L661" s="417"/>
      <c r="M661" s="417"/>
      <c r="N661" s="417"/>
      <c r="O661" s="417"/>
      <c r="P661" s="417"/>
      <c r="Q661" s="417"/>
      <c r="R661" s="417"/>
      <c r="S661" s="417"/>
      <c r="T661" s="417"/>
      <c r="U661" s="417"/>
      <c r="V661" s="417"/>
      <c r="W661" s="417"/>
      <c r="X661" s="417"/>
      <c r="Y661" s="417"/>
      <c r="Z661" s="417"/>
      <c r="AA661" s="417"/>
      <c r="AB661" s="417"/>
      <c r="AC661" s="417"/>
    </row>
    <row r="662" spans="2:29" x14ac:dyDescent="0.25">
      <c r="B662" s="417"/>
      <c r="C662" s="417"/>
      <c r="D662" s="417"/>
      <c r="E662" s="417"/>
      <c r="F662" s="417"/>
      <c r="G662" s="417"/>
      <c r="H662" s="417"/>
      <c r="I662" s="417"/>
      <c r="J662" s="417"/>
      <c r="K662" s="417"/>
      <c r="L662" s="417"/>
      <c r="M662" s="417"/>
      <c r="N662" s="417"/>
      <c r="O662" s="417"/>
      <c r="P662" s="417"/>
      <c r="Q662" s="417"/>
      <c r="R662" s="417"/>
      <c r="S662" s="417"/>
      <c r="T662" s="417"/>
      <c r="U662" s="417"/>
      <c r="V662" s="417"/>
      <c r="W662" s="417"/>
      <c r="X662" s="417"/>
      <c r="Y662" s="417"/>
      <c r="Z662" s="417"/>
      <c r="AA662" s="417"/>
      <c r="AB662" s="417"/>
      <c r="AC662" s="417"/>
    </row>
    <row r="663" spans="2:29" x14ac:dyDescent="0.25">
      <c r="B663" s="417"/>
      <c r="C663" s="417"/>
      <c r="D663" s="417"/>
      <c r="E663" s="417"/>
      <c r="F663" s="417"/>
      <c r="G663" s="417"/>
      <c r="H663" s="417"/>
      <c r="I663" s="417"/>
      <c r="J663" s="417"/>
      <c r="K663" s="417"/>
      <c r="L663" s="417"/>
      <c r="M663" s="417"/>
      <c r="N663" s="417"/>
      <c r="O663" s="417"/>
      <c r="P663" s="417"/>
      <c r="Q663" s="417"/>
      <c r="R663" s="417"/>
      <c r="S663" s="417"/>
      <c r="T663" s="417"/>
      <c r="U663" s="417"/>
      <c r="V663" s="417"/>
      <c r="W663" s="417"/>
      <c r="X663" s="417"/>
      <c r="Y663" s="417"/>
      <c r="Z663" s="417"/>
      <c r="AA663" s="417"/>
      <c r="AB663" s="417"/>
      <c r="AC663" s="417"/>
    </row>
    <row r="664" spans="2:29" x14ac:dyDescent="0.25">
      <c r="B664" s="417"/>
      <c r="C664" s="417"/>
      <c r="D664" s="417"/>
      <c r="E664" s="417"/>
      <c r="F664" s="417"/>
      <c r="G664" s="417"/>
      <c r="H664" s="417"/>
      <c r="I664" s="417"/>
      <c r="J664" s="417"/>
      <c r="K664" s="417"/>
      <c r="L664" s="417"/>
      <c r="M664" s="417"/>
      <c r="N664" s="417"/>
      <c r="O664" s="417"/>
      <c r="P664" s="417"/>
      <c r="Q664" s="417"/>
      <c r="R664" s="417"/>
      <c r="S664" s="417"/>
      <c r="T664" s="417"/>
      <c r="U664" s="417"/>
      <c r="V664" s="417"/>
      <c r="W664" s="417"/>
      <c r="X664" s="417"/>
      <c r="Y664" s="417"/>
      <c r="Z664" s="417"/>
      <c r="AA664" s="417"/>
      <c r="AB664" s="417"/>
      <c r="AC664" s="417"/>
    </row>
    <row r="665" spans="2:29" x14ac:dyDescent="0.25">
      <c r="B665" s="417"/>
      <c r="C665" s="417"/>
      <c r="D665" s="417"/>
      <c r="E665" s="417"/>
      <c r="F665" s="417"/>
      <c r="G665" s="417"/>
      <c r="H665" s="417"/>
      <c r="I665" s="417"/>
      <c r="J665" s="417"/>
      <c r="K665" s="417"/>
      <c r="L665" s="417"/>
      <c r="M665" s="417"/>
      <c r="N665" s="417"/>
      <c r="O665" s="417"/>
      <c r="P665" s="417"/>
      <c r="Q665" s="417"/>
      <c r="R665" s="417"/>
      <c r="S665" s="417"/>
      <c r="T665" s="417"/>
      <c r="U665" s="417"/>
      <c r="V665" s="417"/>
      <c r="W665" s="417"/>
      <c r="X665" s="417"/>
      <c r="Y665" s="417"/>
      <c r="Z665" s="417"/>
      <c r="AA665" s="417"/>
      <c r="AB665" s="417"/>
      <c r="AC665" s="417"/>
    </row>
    <row r="666" spans="2:29" x14ac:dyDescent="0.25">
      <c r="B666" s="417"/>
      <c r="C666" s="417"/>
      <c r="D666" s="417"/>
      <c r="E666" s="417"/>
      <c r="F666" s="417"/>
      <c r="G666" s="417"/>
      <c r="H666" s="417"/>
      <c r="I666" s="417"/>
      <c r="J666" s="417"/>
      <c r="K666" s="417"/>
      <c r="L666" s="417"/>
      <c r="M666" s="417"/>
      <c r="N666" s="417"/>
      <c r="O666" s="417"/>
      <c r="P666" s="417"/>
      <c r="Q666" s="417"/>
      <c r="R666" s="417"/>
      <c r="S666" s="417"/>
      <c r="T666" s="417"/>
      <c r="U666" s="417"/>
      <c r="V666" s="417"/>
      <c r="W666" s="417"/>
      <c r="X666" s="417"/>
      <c r="Y666" s="417"/>
      <c r="Z666" s="417"/>
      <c r="AA666" s="417"/>
      <c r="AB666" s="417"/>
      <c r="AC666" s="417"/>
    </row>
    <row r="667" spans="2:29" x14ac:dyDescent="0.25">
      <c r="B667" s="417"/>
      <c r="C667" s="417"/>
      <c r="D667" s="417"/>
      <c r="E667" s="417"/>
      <c r="F667" s="417"/>
      <c r="G667" s="417"/>
      <c r="H667" s="417"/>
      <c r="I667" s="417"/>
      <c r="J667" s="417"/>
      <c r="K667" s="417"/>
      <c r="L667" s="417"/>
      <c r="M667" s="417"/>
      <c r="N667" s="417"/>
      <c r="O667" s="417"/>
      <c r="P667" s="417"/>
      <c r="Q667" s="417"/>
      <c r="R667" s="417"/>
      <c r="S667" s="417"/>
      <c r="T667" s="417"/>
      <c r="U667" s="417"/>
      <c r="V667" s="417"/>
      <c r="W667" s="417"/>
      <c r="X667" s="417"/>
      <c r="Y667" s="417"/>
      <c r="Z667" s="417"/>
      <c r="AA667" s="417"/>
      <c r="AB667" s="417"/>
      <c r="AC667" s="417"/>
    </row>
    <row r="668" spans="2:29" x14ac:dyDescent="0.25">
      <c r="B668" s="417"/>
      <c r="C668" s="417"/>
      <c r="D668" s="417"/>
      <c r="E668" s="417"/>
      <c r="F668" s="417"/>
      <c r="G668" s="417"/>
      <c r="H668" s="417"/>
      <c r="I668" s="417"/>
      <c r="J668" s="417"/>
      <c r="K668" s="417"/>
      <c r="L668" s="417"/>
      <c r="M668" s="417"/>
      <c r="N668" s="417"/>
      <c r="O668" s="417"/>
      <c r="P668" s="417"/>
      <c r="Q668" s="417"/>
      <c r="R668" s="417"/>
      <c r="S668" s="417"/>
      <c r="T668" s="417"/>
      <c r="U668" s="417"/>
      <c r="V668" s="417"/>
      <c r="W668" s="417"/>
      <c r="X668" s="417"/>
      <c r="Y668" s="417"/>
      <c r="Z668" s="417"/>
      <c r="AA668" s="417"/>
      <c r="AB668" s="417"/>
      <c r="AC668" s="417"/>
    </row>
    <row r="669" spans="2:29" x14ac:dyDescent="0.25">
      <c r="B669" s="417"/>
      <c r="C669" s="417"/>
      <c r="D669" s="417"/>
      <c r="E669" s="417"/>
      <c r="F669" s="417"/>
      <c r="G669" s="417"/>
      <c r="H669" s="417"/>
      <c r="I669" s="417"/>
      <c r="J669" s="417"/>
      <c r="K669" s="417"/>
      <c r="L669" s="417"/>
      <c r="M669" s="417"/>
      <c r="N669" s="417"/>
      <c r="O669" s="417"/>
      <c r="P669" s="417"/>
      <c r="Q669" s="417"/>
      <c r="R669" s="417"/>
      <c r="S669" s="417"/>
      <c r="T669" s="417"/>
      <c r="U669" s="417"/>
      <c r="V669" s="417"/>
      <c r="W669" s="417"/>
      <c r="X669" s="417"/>
      <c r="Y669" s="417"/>
      <c r="Z669" s="417"/>
      <c r="AA669" s="417"/>
      <c r="AB669" s="417"/>
      <c r="AC669" s="417"/>
    </row>
    <row r="670" spans="2:29" x14ac:dyDescent="0.25">
      <c r="B670" s="417"/>
      <c r="C670" s="417"/>
      <c r="D670" s="417"/>
      <c r="E670" s="417"/>
      <c r="F670" s="417"/>
      <c r="G670" s="417"/>
      <c r="H670" s="417"/>
      <c r="I670" s="417"/>
      <c r="J670" s="417"/>
      <c r="K670" s="417"/>
      <c r="L670" s="417"/>
      <c r="M670" s="417"/>
      <c r="N670" s="417"/>
      <c r="O670" s="417"/>
      <c r="P670" s="417"/>
      <c r="Q670" s="417"/>
      <c r="R670" s="417"/>
      <c r="S670" s="417"/>
      <c r="T670" s="417"/>
      <c r="U670" s="417"/>
      <c r="V670" s="417"/>
      <c r="W670" s="417"/>
      <c r="X670" s="417"/>
      <c r="Y670" s="417"/>
      <c r="Z670" s="417"/>
      <c r="AA670" s="417"/>
      <c r="AB670" s="417"/>
      <c r="AC670" s="417"/>
    </row>
    <row r="671" spans="2:29" x14ac:dyDescent="0.25">
      <c r="B671" s="417"/>
      <c r="C671" s="417"/>
      <c r="D671" s="417"/>
      <c r="E671" s="417"/>
      <c r="F671" s="417"/>
      <c r="G671" s="417"/>
      <c r="H671" s="417"/>
      <c r="I671" s="417"/>
      <c r="J671" s="417"/>
      <c r="K671" s="417"/>
      <c r="L671" s="417"/>
      <c r="M671" s="417"/>
      <c r="N671" s="417"/>
      <c r="O671" s="417"/>
      <c r="P671" s="417"/>
      <c r="Q671" s="417"/>
      <c r="R671" s="417"/>
      <c r="S671" s="417"/>
      <c r="T671" s="417"/>
      <c r="U671" s="417"/>
      <c r="V671" s="417"/>
      <c r="W671" s="417"/>
      <c r="X671" s="417"/>
      <c r="Y671" s="417"/>
      <c r="Z671" s="417"/>
      <c r="AA671" s="417"/>
      <c r="AB671" s="417"/>
      <c r="AC671" s="417"/>
    </row>
    <row r="672" spans="2:29" x14ac:dyDescent="0.25">
      <c r="B672" s="417"/>
      <c r="C672" s="417"/>
      <c r="D672" s="417"/>
      <c r="E672" s="417"/>
      <c r="F672" s="417"/>
      <c r="G672" s="417"/>
      <c r="H672" s="417"/>
      <c r="I672" s="417"/>
      <c r="J672" s="417"/>
      <c r="K672" s="417"/>
      <c r="L672" s="417"/>
      <c r="M672" s="417"/>
      <c r="N672" s="417"/>
      <c r="O672" s="417"/>
      <c r="P672" s="417"/>
      <c r="Q672" s="417"/>
      <c r="R672" s="417"/>
      <c r="S672" s="417"/>
      <c r="T672" s="417"/>
      <c r="U672" s="417"/>
      <c r="V672" s="417"/>
      <c r="W672" s="417"/>
      <c r="X672" s="417"/>
      <c r="Y672" s="417"/>
      <c r="Z672" s="417"/>
      <c r="AA672" s="417"/>
      <c r="AB672" s="417"/>
      <c r="AC672" s="417"/>
    </row>
    <row r="673" spans="2:29" x14ac:dyDescent="0.25">
      <c r="B673" s="417"/>
      <c r="C673" s="417"/>
      <c r="D673" s="417"/>
      <c r="E673" s="417"/>
      <c r="F673" s="417"/>
      <c r="G673" s="417"/>
      <c r="H673" s="417"/>
      <c r="I673" s="417"/>
      <c r="J673" s="417"/>
      <c r="K673" s="417"/>
      <c r="L673" s="417"/>
      <c r="M673" s="417"/>
      <c r="N673" s="417"/>
      <c r="O673" s="417"/>
      <c r="P673" s="417"/>
      <c r="Q673" s="417"/>
      <c r="R673" s="417"/>
      <c r="S673" s="417"/>
      <c r="T673" s="417"/>
      <c r="U673" s="417"/>
      <c r="V673" s="417"/>
      <c r="W673" s="417"/>
      <c r="X673" s="417"/>
      <c r="Y673" s="417"/>
      <c r="Z673" s="417"/>
      <c r="AA673" s="417"/>
      <c r="AB673" s="417"/>
      <c r="AC673" s="417"/>
    </row>
    <row r="674" spans="2:29" x14ac:dyDescent="0.25">
      <c r="B674" s="417"/>
      <c r="C674" s="417"/>
      <c r="D674" s="417"/>
      <c r="E674" s="417"/>
      <c r="F674" s="417"/>
      <c r="G674" s="417"/>
      <c r="H674" s="417"/>
      <c r="I674" s="417"/>
      <c r="J674" s="417"/>
      <c r="K674" s="417"/>
      <c r="L674" s="417"/>
      <c r="M674" s="417"/>
      <c r="N674" s="417"/>
      <c r="O674" s="417"/>
      <c r="P674" s="417"/>
      <c r="Q674" s="417"/>
      <c r="R674" s="417"/>
      <c r="S674" s="417"/>
      <c r="T674" s="417"/>
      <c r="U674" s="417"/>
      <c r="V674" s="417"/>
      <c r="W674" s="417"/>
      <c r="X674" s="417"/>
      <c r="Y674" s="417"/>
      <c r="Z674" s="417"/>
      <c r="AA674" s="417"/>
      <c r="AB674" s="417"/>
      <c r="AC674" s="417"/>
    </row>
    <row r="675" spans="2:29" x14ac:dyDescent="0.25">
      <c r="B675" s="417"/>
      <c r="C675" s="417"/>
      <c r="D675" s="417"/>
      <c r="E675" s="417"/>
      <c r="F675" s="417"/>
      <c r="G675" s="417"/>
      <c r="H675" s="417"/>
      <c r="I675" s="417"/>
      <c r="J675" s="417"/>
      <c r="K675" s="417"/>
      <c r="L675" s="417"/>
      <c r="M675" s="417"/>
      <c r="N675" s="417"/>
      <c r="O675" s="417"/>
      <c r="P675" s="417"/>
      <c r="Q675" s="417"/>
      <c r="R675" s="417"/>
      <c r="S675" s="417"/>
      <c r="T675" s="417"/>
      <c r="U675" s="417"/>
      <c r="V675" s="417"/>
      <c r="W675" s="417"/>
      <c r="X675" s="417"/>
      <c r="Y675" s="417"/>
      <c r="Z675" s="417"/>
      <c r="AA675" s="417"/>
      <c r="AB675" s="417"/>
      <c r="AC675" s="417"/>
    </row>
    <row r="676" spans="2:29" x14ac:dyDescent="0.25">
      <c r="B676" s="417"/>
      <c r="C676" s="417"/>
      <c r="D676" s="417"/>
      <c r="E676" s="417"/>
      <c r="F676" s="417"/>
      <c r="G676" s="417"/>
      <c r="H676" s="417"/>
      <c r="I676" s="417"/>
      <c r="J676" s="417"/>
      <c r="K676" s="417"/>
      <c r="L676" s="417"/>
      <c r="M676" s="417"/>
      <c r="N676" s="417"/>
      <c r="O676" s="417"/>
      <c r="P676" s="417"/>
      <c r="Q676" s="417"/>
      <c r="R676" s="417"/>
      <c r="S676" s="417"/>
      <c r="T676" s="417"/>
      <c r="U676" s="417"/>
      <c r="V676" s="417"/>
      <c r="W676" s="417"/>
      <c r="X676" s="417"/>
      <c r="Y676" s="417"/>
      <c r="Z676" s="417"/>
      <c r="AA676" s="417"/>
      <c r="AB676" s="417"/>
      <c r="AC676" s="417"/>
    </row>
    <row r="677" spans="2:29" x14ac:dyDescent="0.25">
      <c r="B677" s="417"/>
      <c r="C677" s="417"/>
      <c r="D677" s="417"/>
      <c r="E677" s="417"/>
      <c r="F677" s="417"/>
      <c r="G677" s="417"/>
      <c r="H677" s="417"/>
      <c r="I677" s="417"/>
      <c r="J677" s="417"/>
      <c r="K677" s="417"/>
      <c r="L677" s="417"/>
      <c r="M677" s="417"/>
      <c r="N677" s="417"/>
      <c r="O677" s="417"/>
      <c r="P677" s="417"/>
      <c r="Q677" s="417"/>
      <c r="R677" s="417"/>
      <c r="S677" s="417"/>
      <c r="T677" s="417"/>
      <c r="U677" s="417"/>
      <c r="V677" s="417"/>
      <c r="W677" s="417"/>
      <c r="X677" s="417"/>
      <c r="Y677" s="417"/>
      <c r="Z677" s="417"/>
      <c r="AA677" s="417"/>
      <c r="AB677" s="417"/>
      <c r="AC677" s="417"/>
    </row>
    <row r="678" spans="2:29" x14ac:dyDescent="0.25">
      <c r="B678" s="417"/>
      <c r="C678" s="417"/>
      <c r="D678" s="417"/>
      <c r="E678" s="417"/>
      <c r="F678" s="417"/>
      <c r="G678" s="417"/>
      <c r="H678" s="417"/>
      <c r="I678" s="417"/>
      <c r="J678" s="417"/>
      <c r="K678" s="417"/>
      <c r="L678" s="417"/>
      <c r="M678" s="417"/>
      <c r="N678" s="417"/>
      <c r="O678" s="417"/>
      <c r="P678" s="417"/>
      <c r="Q678" s="417"/>
      <c r="R678" s="417"/>
      <c r="S678" s="417"/>
      <c r="T678" s="417"/>
      <c r="U678" s="417"/>
      <c r="V678" s="417"/>
      <c r="W678" s="417"/>
      <c r="X678" s="417"/>
      <c r="Y678" s="417"/>
      <c r="Z678" s="417"/>
      <c r="AA678" s="417"/>
      <c r="AB678" s="417"/>
      <c r="AC678" s="417"/>
    </row>
    <row r="679" spans="2:29" x14ac:dyDescent="0.25">
      <c r="B679" s="417"/>
      <c r="C679" s="417"/>
      <c r="D679" s="417"/>
      <c r="E679" s="417"/>
      <c r="F679" s="417"/>
      <c r="G679" s="417"/>
      <c r="H679" s="417"/>
      <c r="I679" s="417"/>
      <c r="J679" s="417"/>
      <c r="K679" s="417"/>
      <c r="L679" s="417"/>
      <c r="M679" s="417"/>
      <c r="N679" s="417"/>
      <c r="O679" s="417"/>
      <c r="P679" s="417"/>
      <c r="Q679" s="417"/>
      <c r="R679" s="417"/>
      <c r="S679" s="417"/>
      <c r="T679" s="417"/>
      <c r="U679" s="417"/>
      <c r="V679" s="417"/>
      <c r="W679" s="417"/>
      <c r="X679" s="417"/>
      <c r="Y679" s="417"/>
      <c r="Z679" s="417"/>
      <c r="AA679" s="417"/>
      <c r="AB679" s="417"/>
      <c r="AC679" s="417"/>
    </row>
    <row r="680" spans="2:29" x14ac:dyDescent="0.25">
      <c r="B680" s="417"/>
      <c r="C680" s="417"/>
      <c r="D680" s="417"/>
      <c r="E680" s="417"/>
      <c r="F680" s="417"/>
      <c r="G680" s="417"/>
      <c r="H680" s="417"/>
      <c r="I680" s="417"/>
      <c r="J680" s="417"/>
      <c r="K680" s="417"/>
      <c r="L680" s="417"/>
      <c r="M680" s="417"/>
      <c r="N680" s="417"/>
      <c r="O680" s="417"/>
      <c r="P680" s="417"/>
      <c r="Q680" s="417"/>
      <c r="R680" s="417"/>
      <c r="S680" s="417"/>
      <c r="T680" s="417"/>
      <c r="U680" s="417"/>
      <c r="V680" s="417"/>
      <c r="W680" s="417"/>
      <c r="X680" s="417"/>
      <c r="Y680" s="417"/>
      <c r="Z680" s="417"/>
      <c r="AA680" s="417"/>
      <c r="AB680" s="417"/>
      <c r="AC680" s="417"/>
    </row>
    <row r="681" spans="2:29" x14ac:dyDescent="0.25">
      <c r="B681" s="417"/>
      <c r="C681" s="417"/>
      <c r="D681" s="417"/>
      <c r="E681" s="417"/>
      <c r="F681" s="417"/>
      <c r="G681" s="417"/>
      <c r="H681" s="417"/>
      <c r="I681" s="417"/>
      <c r="J681" s="417"/>
      <c r="K681" s="417"/>
      <c r="L681" s="417"/>
      <c r="M681" s="417"/>
      <c r="N681" s="417"/>
      <c r="O681" s="417"/>
      <c r="P681" s="417"/>
      <c r="Q681" s="417"/>
      <c r="R681" s="417"/>
      <c r="S681" s="417"/>
      <c r="T681" s="417"/>
      <c r="U681" s="417"/>
      <c r="V681" s="417"/>
      <c r="W681" s="417"/>
      <c r="X681" s="417"/>
      <c r="Y681" s="417"/>
      <c r="Z681" s="417"/>
      <c r="AA681" s="417"/>
      <c r="AB681" s="417"/>
      <c r="AC681" s="417"/>
    </row>
    <row r="682" spans="2:29" x14ac:dyDescent="0.25">
      <c r="B682" s="417"/>
      <c r="C682" s="417"/>
      <c r="D682" s="417"/>
      <c r="E682" s="417"/>
      <c r="F682" s="417"/>
      <c r="G682" s="417"/>
      <c r="H682" s="417"/>
      <c r="I682" s="417"/>
      <c r="J682" s="417"/>
      <c r="K682" s="417"/>
      <c r="L682" s="417"/>
      <c r="M682" s="417"/>
      <c r="N682" s="417"/>
      <c r="O682" s="417"/>
      <c r="P682" s="417"/>
      <c r="Q682" s="417"/>
      <c r="R682" s="417"/>
      <c r="S682" s="417"/>
      <c r="T682" s="417"/>
      <c r="U682" s="417"/>
      <c r="V682" s="417"/>
      <c r="W682" s="417"/>
      <c r="X682" s="417"/>
      <c r="Y682" s="417"/>
      <c r="Z682" s="417"/>
      <c r="AA682" s="417"/>
      <c r="AB682" s="417"/>
      <c r="AC682" s="417"/>
    </row>
    <row r="683" spans="2:29" x14ac:dyDescent="0.25">
      <c r="B683" s="417"/>
      <c r="C683" s="417"/>
      <c r="D683" s="417"/>
      <c r="E683" s="417"/>
      <c r="F683" s="417"/>
      <c r="G683" s="417"/>
      <c r="H683" s="417"/>
      <c r="I683" s="417"/>
      <c r="J683" s="417"/>
      <c r="K683" s="417"/>
      <c r="L683" s="417"/>
      <c r="M683" s="417"/>
      <c r="N683" s="417"/>
      <c r="O683" s="417"/>
      <c r="P683" s="417"/>
      <c r="Q683" s="417"/>
      <c r="R683" s="417"/>
      <c r="S683" s="417"/>
      <c r="T683" s="417"/>
      <c r="U683" s="417"/>
      <c r="V683" s="417"/>
      <c r="W683" s="417"/>
      <c r="X683" s="417"/>
      <c r="Y683" s="417"/>
      <c r="Z683" s="417"/>
      <c r="AA683" s="417"/>
      <c r="AB683" s="417"/>
      <c r="AC683" s="417"/>
    </row>
    <row r="684" spans="2:29" x14ac:dyDescent="0.25">
      <c r="B684" s="417"/>
      <c r="C684" s="417"/>
      <c r="D684" s="417"/>
      <c r="E684" s="417"/>
      <c r="F684" s="417"/>
      <c r="G684" s="417"/>
      <c r="H684" s="417"/>
      <c r="I684" s="417"/>
      <c r="J684" s="417"/>
      <c r="K684" s="417"/>
      <c r="L684" s="417"/>
      <c r="M684" s="417"/>
      <c r="N684" s="417"/>
      <c r="O684" s="417"/>
      <c r="P684" s="417"/>
      <c r="Q684" s="417"/>
      <c r="R684" s="417"/>
      <c r="S684" s="417"/>
      <c r="T684" s="417"/>
      <c r="U684" s="417"/>
      <c r="V684" s="417"/>
      <c r="W684" s="417"/>
      <c r="X684" s="417"/>
      <c r="Y684" s="417"/>
      <c r="Z684" s="417"/>
      <c r="AA684" s="417"/>
      <c r="AB684" s="417"/>
      <c r="AC684" s="417"/>
    </row>
    <row r="685" spans="2:29" x14ac:dyDescent="0.25">
      <c r="B685" s="417"/>
      <c r="C685" s="417"/>
      <c r="D685" s="417"/>
      <c r="E685" s="417"/>
      <c r="F685" s="417"/>
      <c r="G685" s="417"/>
      <c r="H685" s="417"/>
      <c r="I685" s="417"/>
      <c r="J685" s="417"/>
      <c r="K685" s="417"/>
      <c r="L685" s="417"/>
      <c r="M685" s="417"/>
      <c r="N685" s="417"/>
      <c r="O685" s="417"/>
      <c r="P685" s="417"/>
      <c r="Q685" s="417"/>
      <c r="R685" s="417"/>
      <c r="S685" s="417"/>
      <c r="T685" s="417"/>
      <c r="U685" s="417"/>
      <c r="V685" s="417"/>
      <c r="W685" s="417"/>
      <c r="X685" s="417"/>
      <c r="Y685" s="417"/>
      <c r="Z685" s="417"/>
      <c r="AA685" s="417"/>
      <c r="AB685" s="417"/>
      <c r="AC685" s="417"/>
    </row>
    <row r="686" spans="2:29" x14ac:dyDescent="0.25">
      <c r="B686" s="417"/>
      <c r="C686" s="417"/>
      <c r="D686" s="417"/>
      <c r="E686" s="417"/>
      <c r="F686" s="417"/>
      <c r="G686" s="417"/>
      <c r="H686" s="417"/>
      <c r="I686" s="417"/>
      <c r="J686" s="417"/>
      <c r="K686" s="417"/>
      <c r="L686" s="417"/>
      <c r="M686" s="417"/>
      <c r="N686" s="417"/>
      <c r="O686" s="417"/>
      <c r="P686" s="417"/>
      <c r="Q686" s="417"/>
      <c r="R686" s="417"/>
      <c r="S686" s="417"/>
      <c r="T686" s="417"/>
      <c r="U686" s="417"/>
      <c r="V686" s="417"/>
      <c r="W686" s="417"/>
      <c r="X686" s="417"/>
      <c r="Y686" s="417"/>
      <c r="Z686" s="417"/>
      <c r="AA686" s="417"/>
      <c r="AB686" s="417"/>
      <c r="AC686" s="417"/>
    </row>
    <row r="687" spans="2:29" x14ac:dyDescent="0.25">
      <c r="B687" s="417"/>
      <c r="C687" s="417"/>
      <c r="D687" s="417"/>
      <c r="E687" s="417"/>
      <c r="F687" s="417"/>
      <c r="G687" s="417"/>
      <c r="H687" s="417"/>
      <c r="I687" s="417"/>
      <c r="J687" s="417"/>
      <c r="K687" s="417"/>
      <c r="L687" s="417"/>
      <c r="M687" s="417"/>
      <c r="N687" s="417"/>
      <c r="O687" s="417"/>
      <c r="P687" s="417"/>
      <c r="Q687" s="417"/>
      <c r="R687" s="417"/>
      <c r="S687" s="417"/>
      <c r="T687" s="417"/>
      <c r="U687" s="417"/>
      <c r="V687" s="417"/>
      <c r="W687" s="417"/>
      <c r="X687" s="417"/>
      <c r="Y687" s="417"/>
      <c r="Z687" s="417"/>
      <c r="AA687" s="417"/>
      <c r="AB687" s="417"/>
      <c r="AC687" s="417"/>
    </row>
    <row r="688" spans="2:29" x14ac:dyDescent="0.25">
      <c r="B688" s="417"/>
      <c r="C688" s="417"/>
      <c r="D688" s="417"/>
      <c r="E688" s="417"/>
      <c r="F688" s="417"/>
      <c r="G688" s="417"/>
      <c r="H688" s="417"/>
      <c r="I688" s="417"/>
      <c r="J688" s="417"/>
      <c r="K688" s="417"/>
      <c r="L688" s="417"/>
      <c r="M688" s="417"/>
      <c r="N688" s="417"/>
      <c r="O688" s="417"/>
      <c r="P688" s="417"/>
      <c r="Q688" s="417"/>
      <c r="R688" s="417"/>
      <c r="S688" s="417"/>
      <c r="T688" s="417"/>
      <c r="U688" s="417"/>
      <c r="V688" s="417"/>
      <c r="W688" s="417"/>
      <c r="X688" s="417"/>
      <c r="Y688" s="417"/>
      <c r="Z688" s="417"/>
      <c r="AA688" s="417"/>
      <c r="AB688" s="417"/>
      <c r="AC688" s="417"/>
    </row>
    <row r="689" spans="2:29" x14ac:dyDescent="0.25">
      <c r="B689" s="417"/>
      <c r="C689" s="417"/>
      <c r="D689" s="417"/>
      <c r="E689" s="417"/>
      <c r="F689" s="417"/>
      <c r="G689" s="417"/>
      <c r="H689" s="417"/>
      <c r="I689" s="417"/>
      <c r="J689" s="417"/>
      <c r="K689" s="417"/>
      <c r="L689" s="417"/>
      <c r="M689" s="417"/>
      <c r="N689" s="417"/>
      <c r="O689" s="417"/>
      <c r="P689" s="417"/>
      <c r="Q689" s="417"/>
      <c r="R689" s="417"/>
      <c r="S689" s="417"/>
      <c r="T689" s="417"/>
      <c r="U689" s="417"/>
      <c r="V689" s="417"/>
      <c r="W689" s="417"/>
      <c r="X689" s="417"/>
      <c r="Y689" s="417"/>
      <c r="Z689" s="417"/>
      <c r="AA689" s="417"/>
      <c r="AB689" s="417"/>
      <c r="AC689" s="417"/>
    </row>
    <row r="690" spans="2:29" x14ac:dyDescent="0.25">
      <c r="B690" s="417"/>
      <c r="C690" s="417"/>
      <c r="D690" s="417"/>
      <c r="E690" s="417"/>
      <c r="F690" s="417"/>
      <c r="G690" s="417"/>
      <c r="H690" s="417"/>
      <c r="I690" s="417"/>
      <c r="J690" s="417"/>
      <c r="K690" s="417"/>
      <c r="L690" s="417"/>
      <c r="M690" s="417"/>
      <c r="N690" s="417"/>
      <c r="O690" s="417"/>
      <c r="P690" s="417"/>
      <c r="Q690" s="417"/>
      <c r="R690" s="417"/>
      <c r="S690" s="417"/>
      <c r="T690" s="417"/>
      <c r="U690" s="417"/>
      <c r="V690" s="417"/>
      <c r="W690" s="417"/>
      <c r="X690" s="417"/>
      <c r="Y690" s="417"/>
      <c r="Z690" s="417"/>
      <c r="AA690" s="417"/>
      <c r="AB690" s="417"/>
      <c r="AC690" s="417"/>
    </row>
    <row r="691" spans="2:29" x14ac:dyDescent="0.25">
      <c r="B691" s="417"/>
      <c r="C691" s="417"/>
      <c r="D691" s="417"/>
      <c r="E691" s="417"/>
      <c r="F691" s="417"/>
      <c r="G691" s="417"/>
      <c r="H691" s="417"/>
      <c r="I691" s="417"/>
      <c r="J691" s="417"/>
      <c r="K691" s="417"/>
      <c r="L691" s="417"/>
      <c r="M691" s="417"/>
      <c r="N691" s="417"/>
      <c r="O691" s="417"/>
      <c r="P691" s="417"/>
      <c r="Q691" s="417"/>
      <c r="R691" s="417"/>
      <c r="S691" s="417"/>
      <c r="T691" s="417"/>
      <c r="U691" s="417"/>
      <c r="V691" s="417"/>
      <c r="W691" s="417"/>
      <c r="X691" s="417"/>
      <c r="Y691" s="417"/>
      <c r="Z691" s="417"/>
      <c r="AA691" s="417"/>
      <c r="AB691" s="417"/>
      <c r="AC691" s="417"/>
    </row>
    <row r="692" spans="2:29" x14ac:dyDescent="0.25">
      <c r="B692" s="417"/>
      <c r="C692" s="417"/>
      <c r="D692" s="417"/>
      <c r="E692" s="417"/>
      <c r="F692" s="417"/>
      <c r="G692" s="417"/>
      <c r="H692" s="417"/>
      <c r="I692" s="417"/>
      <c r="J692" s="417"/>
      <c r="K692" s="417"/>
      <c r="L692" s="417"/>
      <c r="M692" s="417"/>
      <c r="N692" s="417"/>
      <c r="O692" s="417"/>
      <c r="P692" s="417"/>
      <c r="Q692" s="417"/>
      <c r="R692" s="417"/>
      <c r="S692" s="417"/>
      <c r="T692" s="417"/>
      <c r="U692" s="417"/>
      <c r="V692" s="417"/>
      <c r="W692" s="417"/>
      <c r="X692" s="417"/>
      <c r="Y692" s="417"/>
      <c r="Z692" s="417"/>
      <c r="AA692" s="417"/>
      <c r="AB692" s="417"/>
      <c r="AC692" s="417"/>
    </row>
    <row r="693" spans="2:29" x14ac:dyDescent="0.25">
      <c r="B693" s="417"/>
      <c r="C693" s="417"/>
      <c r="D693" s="417"/>
      <c r="E693" s="417"/>
      <c r="F693" s="417"/>
      <c r="G693" s="417"/>
      <c r="H693" s="417"/>
      <c r="I693" s="417"/>
      <c r="J693" s="417"/>
      <c r="K693" s="417"/>
      <c r="L693" s="417"/>
      <c r="M693" s="417"/>
      <c r="N693" s="417"/>
      <c r="O693" s="417"/>
      <c r="P693" s="417"/>
      <c r="Q693" s="417"/>
      <c r="R693" s="417"/>
      <c r="S693" s="417"/>
      <c r="T693" s="417"/>
      <c r="U693" s="417"/>
      <c r="V693" s="417"/>
      <c r="W693" s="417"/>
      <c r="X693" s="417"/>
      <c r="Y693" s="417"/>
      <c r="Z693" s="417"/>
      <c r="AA693" s="417"/>
      <c r="AB693" s="417"/>
      <c r="AC693" s="417"/>
    </row>
    <row r="694" spans="2:29" x14ac:dyDescent="0.25">
      <c r="B694" s="417"/>
      <c r="C694" s="417"/>
      <c r="D694" s="417"/>
      <c r="E694" s="417"/>
      <c r="F694" s="417"/>
      <c r="G694" s="417"/>
      <c r="H694" s="417"/>
      <c r="I694" s="417"/>
      <c r="J694" s="417"/>
      <c r="K694" s="417"/>
      <c r="L694" s="417"/>
      <c r="M694" s="417"/>
      <c r="N694" s="417"/>
      <c r="O694" s="417"/>
      <c r="P694" s="417"/>
      <c r="Q694" s="417"/>
      <c r="R694" s="417"/>
      <c r="S694" s="417"/>
      <c r="T694" s="417"/>
      <c r="U694" s="417"/>
      <c r="V694" s="417"/>
      <c r="W694" s="417"/>
      <c r="X694" s="417"/>
      <c r="Y694" s="417"/>
      <c r="Z694" s="417"/>
      <c r="AA694" s="417"/>
      <c r="AB694" s="417"/>
      <c r="AC694" s="417"/>
    </row>
    <row r="695" spans="2:29" x14ac:dyDescent="0.25">
      <c r="B695" s="417"/>
      <c r="C695" s="417"/>
      <c r="D695" s="417"/>
      <c r="E695" s="417"/>
      <c r="F695" s="417"/>
      <c r="G695" s="417"/>
      <c r="H695" s="417"/>
      <c r="I695" s="417"/>
      <c r="J695" s="417"/>
      <c r="K695" s="417"/>
      <c r="L695" s="417"/>
      <c r="M695" s="417"/>
      <c r="N695" s="417"/>
      <c r="O695" s="417"/>
      <c r="P695" s="417"/>
      <c r="Q695" s="417"/>
      <c r="R695" s="417"/>
      <c r="S695" s="417"/>
      <c r="T695" s="417"/>
      <c r="U695" s="417"/>
      <c r="V695" s="417"/>
      <c r="W695" s="417"/>
      <c r="X695" s="417"/>
      <c r="Y695" s="417"/>
      <c r="Z695" s="417"/>
      <c r="AA695" s="417"/>
      <c r="AB695" s="417"/>
      <c r="AC695" s="417"/>
    </row>
    <row r="696" spans="2:29" x14ac:dyDescent="0.25">
      <c r="B696" s="417"/>
      <c r="C696" s="417"/>
      <c r="D696" s="417"/>
      <c r="E696" s="417"/>
      <c r="F696" s="417"/>
      <c r="G696" s="417"/>
      <c r="H696" s="417"/>
      <c r="I696" s="417"/>
      <c r="J696" s="417"/>
      <c r="K696" s="417"/>
      <c r="L696" s="417"/>
      <c r="M696" s="417"/>
      <c r="N696" s="417"/>
      <c r="O696" s="417"/>
      <c r="P696" s="417"/>
      <c r="Q696" s="417"/>
      <c r="R696" s="417"/>
      <c r="S696" s="417"/>
      <c r="T696" s="417"/>
      <c r="U696" s="417"/>
      <c r="V696" s="417"/>
      <c r="W696" s="417"/>
      <c r="X696" s="417"/>
      <c r="Y696" s="417"/>
      <c r="Z696" s="417"/>
      <c r="AA696" s="417"/>
      <c r="AB696" s="417"/>
      <c r="AC696" s="417"/>
    </row>
    <row r="697" spans="2:29" x14ac:dyDescent="0.25">
      <c r="B697" s="417"/>
      <c r="C697" s="417"/>
      <c r="D697" s="417"/>
      <c r="E697" s="417"/>
      <c r="F697" s="417"/>
      <c r="G697" s="417"/>
      <c r="H697" s="417"/>
      <c r="I697" s="417"/>
      <c r="J697" s="417"/>
      <c r="K697" s="417"/>
      <c r="L697" s="417"/>
      <c r="M697" s="417"/>
      <c r="N697" s="417"/>
      <c r="O697" s="417"/>
      <c r="P697" s="417"/>
      <c r="Q697" s="417"/>
      <c r="R697" s="417"/>
      <c r="S697" s="417"/>
      <c r="T697" s="417"/>
      <c r="U697" s="417"/>
      <c r="V697" s="417"/>
      <c r="W697" s="417"/>
      <c r="X697" s="417"/>
      <c r="Y697" s="417"/>
      <c r="Z697" s="417"/>
      <c r="AA697" s="417"/>
      <c r="AB697" s="417"/>
      <c r="AC697" s="417"/>
    </row>
    <row r="698" spans="2:29" x14ac:dyDescent="0.25">
      <c r="B698" s="417"/>
      <c r="C698" s="417"/>
      <c r="D698" s="417"/>
      <c r="E698" s="417"/>
      <c r="F698" s="417"/>
      <c r="G698" s="417"/>
      <c r="H698" s="417"/>
      <c r="I698" s="417"/>
      <c r="J698" s="417"/>
      <c r="K698" s="417"/>
      <c r="L698" s="417"/>
      <c r="M698" s="417"/>
      <c r="N698" s="417"/>
      <c r="O698" s="417"/>
      <c r="P698" s="417"/>
      <c r="Q698" s="417"/>
      <c r="R698" s="417"/>
      <c r="S698" s="417"/>
      <c r="T698" s="417"/>
      <c r="U698" s="417"/>
      <c r="V698" s="417"/>
      <c r="W698" s="417"/>
      <c r="X698" s="417"/>
      <c r="Y698" s="417"/>
      <c r="Z698" s="417"/>
      <c r="AA698" s="417"/>
      <c r="AB698" s="417"/>
      <c r="AC698" s="417"/>
    </row>
    <row r="699" spans="2:29" x14ac:dyDescent="0.25">
      <c r="B699" s="417"/>
      <c r="C699" s="417"/>
      <c r="D699" s="417"/>
      <c r="E699" s="417"/>
      <c r="F699" s="417"/>
      <c r="G699" s="417"/>
      <c r="H699" s="417"/>
      <c r="I699" s="417"/>
      <c r="J699" s="417"/>
      <c r="K699" s="417"/>
      <c r="L699" s="417"/>
      <c r="M699" s="417"/>
      <c r="N699" s="417"/>
      <c r="O699" s="417"/>
      <c r="P699" s="417"/>
      <c r="Q699" s="417"/>
      <c r="R699" s="417"/>
      <c r="S699" s="417"/>
      <c r="T699" s="417"/>
      <c r="U699" s="417"/>
      <c r="V699" s="417"/>
      <c r="W699" s="417"/>
      <c r="X699" s="417"/>
      <c r="Y699" s="417"/>
      <c r="Z699" s="417"/>
      <c r="AA699" s="417"/>
      <c r="AB699" s="417"/>
      <c r="AC699" s="417"/>
    </row>
    <row r="700" spans="2:29" x14ac:dyDescent="0.25">
      <c r="B700" s="417"/>
      <c r="C700" s="417"/>
      <c r="D700" s="417"/>
      <c r="E700" s="417"/>
      <c r="F700" s="417"/>
      <c r="G700" s="417"/>
      <c r="H700" s="417"/>
      <c r="I700" s="417"/>
      <c r="J700" s="417"/>
      <c r="K700" s="417"/>
      <c r="L700" s="417"/>
      <c r="M700" s="417"/>
      <c r="N700" s="417"/>
      <c r="O700" s="417"/>
      <c r="P700" s="417"/>
      <c r="Q700" s="417"/>
      <c r="R700" s="417"/>
      <c r="S700" s="417"/>
      <c r="T700" s="417"/>
      <c r="U700" s="417"/>
      <c r="V700" s="417"/>
      <c r="W700" s="417"/>
      <c r="X700" s="417"/>
      <c r="Y700" s="417"/>
      <c r="Z700" s="417"/>
      <c r="AA700" s="417"/>
      <c r="AB700" s="417"/>
      <c r="AC700" s="417"/>
    </row>
    <row r="701" spans="2:29" x14ac:dyDescent="0.25">
      <c r="B701" s="417"/>
      <c r="C701" s="417"/>
      <c r="D701" s="417"/>
      <c r="E701" s="417"/>
      <c r="F701" s="417"/>
      <c r="G701" s="417"/>
      <c r="H701" s="417"/>
      <c r="I701" s="417"/>
      <c r="J701" s="417"/>
      <c r="K701" s="417"/>
      <c r="L701" s="417"/>
      <c r="M701" s="417"/>
      <c r="N701" s="417"/>
      <c r="O701" s="417"/>
      <c r="P701" s="417"/>
      <c r="Q701" s="417"/>
      <c r="R701" s="417"/>
      <c r="S701" s="417"/>
      <c r="T701" s="417"/>
      <c r="U701" s="417"/>
      <c r="V701" s="417"/>
      <c r="W701" s="417"/>
      <c r="X701" s="417"/>
      <c r="Y701" s="417"/>
      <c r="Z701" s="417"/>
      <c r="AA701" s="417"/>
      <c r="AB701" s="417"/>
      <c r="AC701" s="417"/>
    </row>
    <row r="702" spans="2:29" x14ac:dyDescent="0.25">
      <c r="B702" s="417"/>
      <c r="C702" s="417"/>
      <c r="D702" s="417"/>
      <c r="E702" s="417"/>
      <c r="F702" s="417"/>
      <c r="G702" s="417"/>
      <c r="H702" s="417"/>
      <c r="I702" s="417"/>
      <c r="J702" s="417"/>
      <c r="K702" s="417"/>
      <c r="L702" s="417"/>
      <c r="M702" s="417"/>
      <c r="N702" s="417"/>
      <c r="O702" s="417"/>
      <c r="P702" s="417"/>
      <c r="Q702" s="417"/>
      <c r="R702" s="417"/>
      <c r="S702" s="417"/>
      <c r="T702" s="417"/>
      <c r="U702" s="417"/>
      <c r="V702" s="417"/>
      <c r="W702" s="417"/>
      <c r="X702" s="417"/>
      <c r="Y702" s="417"/>
      <c r="Z702" s="417"/>
      <c r="AA702" s="417"/>
      <c r="AB702" s="417"/>
      <c r="AC702" s="417"/>
    </row>
    <row r="703" spans="2:29" x14ac:dyDescent="0.25">
      <c r="B703" s="417"/>
      <c r="C703" s="417"/>
      <c r="D703" s="417"/>
      <c r="E703" s="417"/>
      <c r="F703" s="417"/>
      <c r="G703" s="417"/>
      <c r="H703" s="417"/>
      <c r="I703" s="417"/>
      <c r="J703" s="417"/>
      <c r="K703" s="417"/>
      <c r="L703" s="417"/>
      <c r="M703" s="417"/>
      <c r="N703" s="417"/>
      <c r="O703" s="417"/>
      <c r="P703" s="417"/>
      <c r="Q703" s="417"/>
      <c r="R703" s="417"/>
      <c r="S703" s="417"/>
      <c r="T703" s="417"/>
      <c r="U703" s="417"/>
      <c r="V703" s="417"/>
      <c r="W703" s="417"/>
      <c r="X703" s="417"/>
      <c r="Y703" s="417"/>
      <c r="Z703" s="417"/>
      <c r="AA703" s="417"/>
      <c r="AB703" s="417"/>
      <c r="AC703" s="417"/>
    </row>
    <row r="704" spans="2:29" x14ac:dyDescent="0.25">
      <c r="B704" s="417"/>
      <c r="C704" s="417"/>
      <c r="D704" s="417"/>
      <c r="E704" s="417"/>
      <c r="F704" s="417"/>
      <c r="G704" s="417"/>
      <c r="H704" s="417"/>
      <c r="I704" s="417"/>
      <c r="J704" s="417"/>
      <c r="K704" s="417"/>
      <c r="L704" s="417"/>
      <c r="M704" s="417"/>
      <c r="N704" s="417"/>
      <c r="O704" s="417"/>
      <c r="P704" s="417"/>
      <c r="Q704" s="417"/>
      <c r="R704" s="417"/>
      <c r="S704" s="417"/>
      <c r="T704" s="417"/>
      <c r="U704" s="417"/>
      <c r="V704" s="417"/>
      <c r="W704" s="417"/>
      <c r="X704" s="417"/>
      <c r="Y704" s="417"/>
      <c r="Z704" s="417"/>
      <c r="AA704" s="417"/>
      <c r="AB704" s="417"/>
      <c r="AC704" s="417"/>
    </row>
    <row r="705" spans="2:29" x14ac:dyDescent="0.25">
      <c r="B705" s="417"/>
      <c r="C705" s="417"/>
      <c r="D705" s="417"/>
      <c r="E705" s="417"/>
      <c r="F705" s="417"/>
      <c r="G705" s="417"/>
      <c r="H705" s="417"/>
      <c r="I705" s="417"/>
      <c r="J705" s="417"/>
      <c r="K705" s="417"/>
      <c r="L705" s="417"/>
      <c r="M705" s="417"/>
      <c r="N705" s="417"/>
      <c r="O705" s="417"/>
      <c r="P705" s="417"/>
      <c r="Q705" s="417"/>
      <c r="R705" s="417"/>
      <c r="S705" s="417"/>
      <c r="T705" s="417"/>
      <c r="U705" s="417"/>
      <c r="V705" s="417"/>
      <c r="W705" s="417"/>
      <c r="X705" s="417"/>
      <c r="Y705" s="417"/>
      <c r="Z705" s="417"/>
      <c r="AA705" s="417"/>
      <c r="AB705" s="417"/>
      <c r="AC705" s="417"/>
    </row>
    <row r="706" spans="2:29" x14ac:dyDescent="0.25">
      <c r="B706" s="417"/>
      <c r="C706" s="417"/>
      <c r="D706" s="417"/>
      <c r="E706" s="417"/>
      <c r="F706" s="417"/>
      <c r="G706" s="417"/>
      <c r="H706" s="417"/>
      <c r="I706" s="417"/>
      <c r="J706" s="417"/>
      <c r="K706" s="417"/>
      <c r="L706" s="417"/>
      <c r="M706" s="417"/>
      <c r="N706" s="417"/>
      <c r="O706" s="417"/>
      <c r="P706" s="417"/>
      <c r="Q706" s="417"/>
      <c r="R706" s="417"/>
      <c r="S706" s="417"/>
      <c r="T706" s="417"/>
      <c r="U706" s="417"/>
      <c r="V706" s="417"/>
      <c r="W706" s="417"/>
      <c r="X706" s="417"/>
      <c r="Y706" s="417"/>
      <c r="Z706" s="417"/>
      <c r="AA706" s="417"/>
      <c r="AB706" s="417"/>
      <c r="AC706" s="417"/>
    </row>
    <row r="707" spans="2:29" x14ac:dyDescent="0.25">
      <c r="B707" s="417"/>
      <c r="C707" s="417"/>
      <c r="D707" s="417"/>
      <c r="E707" s="417"/>
      <c r="F707" s="417"/>
      <c r="G707" s="417"/>
      <c r="H707" s="417"/>
      <c r="I707" s="417"/>
      <c r="J707" s="417"/>
      <c r="K707" s="417"/>
      <c r="L707" s="417"/>
      <c r="M707" s="417"/>
      <c r="N707" s="417"/>
      <c r="O707" s="417"/>
      <c r="P707" s="417"/>
      <c r="Q707" s="417"/>
      <c r="R707" s="417"/>
      <c r="S707" s="417"/>
      <c r="T707" s="417"/>
      <c r="U707" s="417"/>
      <c r="V707" s="417"/>
      <c r="W707" s="417"/>
      <c r="X707" s="417"/>
      <c r="Y707" s="417"/>
      <c r="Z707" s="417"/>
      <c r="AA707" s="417"/>
      <c r="AB707" s="417"/>
      <c r="AC707" s="417"/>
    </row>
    <row r="708" spans="2:29" x14ac:dyDescent="0.25">
      <c r="B708" s="417"/>
      <c r="C708" s="417"/>
      <c r="D708" s="417"/>
      <c r="E708" s="417"/>
      <c r="F708" s="417"/>
      <c r="G708" s="417"/>
      <c r="H708" s="417"/>
      <c r="I708" s="417"/>
      <c r="J708" s="417"/>
      <c r="K708" s="417"/>
      <c r="L708" s="417"/>
      <c r="M708" s="417"/>
      <c r="N708" s="417"/>
      <c r="O708" s="417"/>
      <c r="P708" s="417"/>
      <c r="Q708" s="417"/>
      <c r="R708" s="417"/>
      <c r="S708" s="417"/>
      <c r="T708" s="417"/>
      <c r="U708" s="417"/>
      <c r="V708" s="417"/>
      <c r="W708" s="417"/>
      <c r="X708" s="417"/>
      <c r="Y708" s="417"/>
      <c r="Z708" s="417"/>
      <c r="AA708" s="417"/>
      <c r="AB708" s="417"/>
      <c r="AC708" s="417"/>
    </row>
    <row r="709" spans="2:29" x14ac:dyDescent="0.25">
      <c r="B709" s="417"/>
      <c r="C709" s="417"/>
      <c r="D709" s="417"/>
      <c r="E709" s="417"/>
      <c r="F709" s="417"/>
      <c r="G709" s="417"/>
      <c r="H709" s="417"/>
      <c r="I709" s="417"/>
      <c r="J709" s="417"/>
      <c r="K709" s="417"/>
      <c r="L709" s="417"/>
      <c r="M709" s="417"/>
      <c r="N709" s="417"/>
      <c r="O709" s="417"/>
      <c r="P709" s="417"/>
      <c r="Q709" s="417"/>
      <c r="R709" s="417"/>
      <c r="S709" s="417"/>
      <c r="T709" s="417"/>
      <c r="U709" s="417"/>
      <c r="V709" s="417"/>
      <c r="W709" s="417"/>
      <c r="X709" s="417"/>
      <c r="Y709" s="417"/>
      <c r="Z709" s="417"/>
      <c r="AA709" s="417"/>
      <c r="AB709" s="417"/>
      <c r="AC709" s="417"/>
    </row>
    <row r="710" spans="2:29" x14ac:dyDescent="0.25">
      <c r="B710" s="417"/>
      <c r="C710" s="417"/>
      <c r="D710" s="417"/>
      <c r="E710" s="417"/>
      <c r="F710" s="417"/>
      <c r="G710" s="417"/>
      <c r="H710" s="417"/>
      <c r="I710" s="417"/>
      <c r="J710" s="417"/>
      <c r="K710" s="417"/>
      <c r="L710" s="417"/>
      <c r="M710" s="417"/>
      <c r="N710" s="417"/>
      <c r="O710" s="417"/>
      <c r="P710" s="417"/>
      <c r="Q710" s="417"/>
      <c r="R710" s="417"/>
      <c r="S710" s="417"/>
      <c r="T710" s="417"/>
      <c r="U710" s="417"/>
      <c r="V710" s="417"/>
      <c r="W710" s="417"/>
      <c r="X710" s="417"/>
      <c r="Y710" s="417"/>
      <c r="Z710" s="417"/>
      <c r="AA710" s="417"/>
      <c r="AB710" s="417"/>
      <c r="AC710" s="417"/>
    </row>
    <row r="711" spans="2:29" x14ac:dyDescent="0.25">
      <c r="B711" s="417"/>
      <c r="C711" s="417"/>
      <c r="D711" s="417"/>
      <c r="E711" s="417"/>
      <c r="F711" s="417"/>
      <c r="G711" s="417"/>
      <c r="H711" s="417"/>
      <c r="I711" s="417"/>
      <c r="J711" s="417"/>
      <c r="K711" s="417"/>
      <c r="L711" s="417"/>
      <c r="M711" s="417"/>
      <c r="N711" s="417"/>
      <c r="O711" s="417"/>
      <c r="P711" s="417"/>
      <c r="Q711" s="417"/>
      <c r="R711" s="417"/>
      <c r="S711" s="417"/>
      <c r="T711" s="417"/>
      <c r="U711" s="417"/>
      <c r="V711" s="417"/>
      <c r="W711" s="417"/>
      <c r="X711" s="417"/>
      <c r="Y711" s="417"/>
      <c r="Z711" s="417"/>
      <c r="AA711" s="417"/>
      <c r="AB711" s="417"/>
      <c r="AC711" s="417"/>
    </row>
    <row r="712" spans="2:29" x14ac:dyDescent="0.25">
      <c r="B712" s="417"/>
      <c r="C712" s="417"/>
      <c r="D712" s="417"/>
      <c r="E712" s="417"/>
      <c r="F712" s="417"/>
      <c r="G712" s="417"/>
      <c r="H712" s="417"/>
      <c r="I712" s="417"/>
      <c r="J712" s="417"/>
      <c r="K712" s="417"/>
      <c r="L712" s="417"/>
      <c r="M712" s="417"/>
      <c r="N712" s="417"/>
      <c r="O712" s="417"/>
      <c r="P712" s="417"/>
      <c r="Q712" s="417"/>
      <c r="R712" s="417"/>
      <c r="S712" s="417"/>
      <c r="T712" s="417"/>
      <c r="U712" s="417"/>
      <c r="V712" s="417"/>
      <c r="W712" s="417"/>
      <c r="X712" s="417"/>
      <c r="Y712" s="417"/>
      <c r="Z712" s="417"/>
      <c r="AA712" s="417"/>
      <c r="AB712" s="417"/>
      <c r="AC712" s="417"/>
    </row>
    <row r="713" spans="2:29" x14ac:dyDescent="0.25">
      <c r="B713" s="417"/>
      <c r="C713" s="417"/>
      <c r="D713" s="417"/>
      <c r="E713" s="417"/>
      <c r="F713" s="417"/>
      <c r="G713" s="417"/>
      <c r="H713" s="417"/>
      <c r="I713" s="417"/>
      <c r="J713" s="417"/>
      <c r="K713" s="417"/>
      <c r="L713" s="417"/>
      <c r="M713" s="417"/>
      <c r="N713" s="417"/>
      <c r="O713" s="417"/>
      <c r="P713" s="417"/>
      <c r="Q713" s="417"/>
      <c r="R713" s="417"/>
      <c r="S713" s="417"/>
      <c r="T713" s="417"/>
      <c r="U713" s="417"/>
      <c r="V713" s="417"/>
      <c r="W713" s="417"/>
      <c r="X713" s="417"/>
      <c r="Y713" s="417"/>
      <c r="Z713" s="417"/>
      <c r="AA713" s="417"/>
      <c r="AB713" s="417"/>
      <c r="AC713" s="417"/>
    </row>
    <row r="714" spans="2:29" x14ac:dyDescent="0.25">
      <c r="B714" s="417"/>
      <c r="C714" s="417"/>
      <c r="D714" s="417"/>
      <c r="E714" s="417"/>
      <c r="F714" s="417"/>
      <c r="G714" s="417"/>
      <c r="H714" s="417"/>
      <c r="I714" s="417"/>
      <c r="J714" s="417"/>
      <c r="K714" s="417"/>
      <c r="L714" s="417"/>
      <c r="M714" s="417"/>
      <c r="N714" s="417"/>
      <c r="O714" s="417"/>
      <c r="P714" s="417"/>
      <c r="Q714" s="417"/>
      <c r="R714" s="417"/>
      <c r="S714" s="417"/>
      <c r="T714" s="417"/>
      <c r="U714" s="417"/>
      <c r="V714" s="417"/>
      <c r="W714" s="417"/>
      <c r="X714" s="417"/>
      <c r="Y714" s="417"/>
      <c r="Z714" s="417"/>
      <c r="AA714" s="417"/>
      <c r="AB714" s="417"/>
      <c r="AC714" s="417"/>
    </row>
    <row r="715" spans="2:29" x14ac:dyDescent="0.25">
      <c r="B715" s="417"/>
      <c r="C715" s="417"/>
      <c r="D715" s="417"/>
      <c r="E715" s="417"/>
      <c r="F715" s="417"/>
      <c r="G715" s="417"/>
      <c r="H715" s="417"/>
      <c r="I715" s="417"/>
      <c r="J715" s="417"/>
      <c r="K715" s="417"/>
      <c r="L715" s="417"/>
      <c r="M715" s="417"/>
      <c r="N715" s="417"/>
      <c r="O715" s="417"/>
      <c r="P715" s="417"/>
      <c r="Q715" s="417"/>
      <c r="R715" s="417"/>
      <c r="S715" s="417"/>
      <c r="T715" s="417"/>
      <c r="U715" s="417"/>
      <c r="V715" s="417"/>
      <c r="W715" s="417"/>
      <c r="X715" s="417"/>
      <c r="Y715" s="417"/>
      <c r="Z715" s="417"/>
      <c r="AA715" s="417"/>
      <c r="AB715" s="417"/>
      <c r="AC715" s="417"/>
    </row>
    <row r="716" spans="2:29" x14ac:dyDescent="0.25">
      <c r="B716" s="417"/>
      <c r="C716" s="417"/>
      <c r="D716" s="417"/>
      <c r="E716" s="417"/>
      <c r="F716" s="417"/>
      <c r="G716" s="417"/>
      <c r="H716" s="417"/>
      <c r="I716" s="417"/>
      <c r="J716" s="417"/>
      <c r="K716" s="417"/>
      <c r="L716" s="417"/>
      <c r="M716" s="417"/>
      <c r="N716" s="417"/>
      <c r="O716" s="417"/>
      <c r="P716" s="417"/>
      <c r="Q716" s="417"/>
      <c r="R716" s="417"/>
      <c r="S716" s="417"/>
      <c r="T716" s="417"/>
      <c r="U716" s="417"/>
      <c r="V716" s="417"/>
      <c r="W716" s="417"/>
      <c r="X716" s="417"/>
      <c r="Y716" s="417"/>
      <c r="Z716" s="417"/>
      <c r="AA716" s="417"/>
      <c r="AB716" s="417"/>
      <c r="AC716" s="417"/>
    </row>
    <row r="717" spans="2:29" x14ac:dyDescent="0.25">
      <c r="B717" s="417"/>
      <c r="C717" s="417"/>
      <c r="D717" s="417"/>
      <c r="E717" s="417"/>
      <c r="F717" s="417"/>
      <c r="G717" s="417"/>
      <c r="H717" s="417"/>
      <c r="I717" s="417"/>
      <c r="J717" s="417"/>
      <c r="K717" s="417"/>
      <c r="L717" s="417"/>
      <c r="M717" s="417"/>
      <c r="N717" s="417"/>
      <c r="O717" s="417"/>
      <c r="P717" s="417"/>
      <c r="Q717" s="417"/>
      <c r="R717" s="417"/>
      <c r="S717" s="417"/>
      <c r="T717" s="417"/>
      <c r="U717" s="417"/>
      <c r="V717" s="417"/>
      <c r="W717" s="417"/>
      <c r="X717" s="417"/>
      <c r="Y717" s="417"/>
      <c r="Z717" s="417"/>
      <c r="AA717" s="417"/>
      <c r="AB717" s="417"/>
      <c r="AC717" s="417"/>
    </row>
    <row r="718" spans="2:29" x14ac:dyDescent="0.25">
      <c r="B718" s="417"/>
      <c r="C718" s="417"/>
      <c r="D718" s="417"/>
      <c r="E718" s="417"/>
      <c r="F718" s="417"/>
      <c r="G718" s="417"/>
      <c r="H718" s="417"/>
      <c r="I718" s="417"/>
      <c r="J718" s="417"/>
      <c r="K718" s="417"/>
      <c r="L718" s="417"/>
      <c r="M718" s="417"/>
      <c r="N718" s="417"/>
      <c r="O718" s="417"/>
      <c r="P718" s="417"/>
      <c r="Q718" s="417"/>
      <c r="R718" s="417"/>
      <c r="S718" s="417"/>
      <c r="T718" s="417"/>
      <c r="U718" s="417"/>
      <c r="V718" s="417"/>
      <c r="W718" s="417"/>
      <c r="X718" s="417"/>
      <c r="Y718" s="417"/>
      <c r="Z718" s="417"/>
      <c r="AA718" s="417"/>
      <c r="AB718" s="417"/>
      <c r="AC718" s="417"/>
    </row>
    <row r="719" spans="2:29" x14ac:dyDescent="0.25">
      <c r="B719" s="417"/>
      <c r="C719" s="417"/>
      <c r="D719" s="417"/>
      <c r="E719" s="417"/>
      <c r="F719" s="417"/>
      <c r="G719" s="417"/>
      <c r="H719" s="417"/>
      <c r="I719" s="417"/>
      <c r="J719" s="417"/>
      <c r="K719" s="417"/>
      <c r="L719" s="417"/>
      <c r="M719" s="417"/>
      <c r="N719" s="417"/>
      <c r="O719" s="417"/>
      <c r="P719" s="417"/>
      <c r="Q719" s="417"/>
      <c r="R719" s="417"/>
      <c r="S719" s="417"/>
      <c r="T719" s="417"/>
      <c r="U719" s="417"/>
      <c r="V719" s="417"/>
      <c r="W719" s="417"/>
      <c r="X719" s="417"/>
      <c r="Y719" s="417"/>
      <c r="Z719" s="417"/>
      <c r="AA719" s="417"/>
      <c r="AB719" s="417"/>
      <c r="AC719" s="417"/>
    </row>
    <row r="720" spans="2:29" x14ac:dyDescent="0.25">
      <c r="B720" s="417"/>
      <c r="C720" s="417"/>
      <c r="D720" s="417"/>
      <c r="E720" s="417"/>
      <c r="F720" s="417"/>
      <c r="G720" s="417"/>
      <c r="H720" s="417"/>
      <c r="I720" s="417"/>
      <c r="J720" s="417"/>
      <c r="K720" s="417"/>
      <c r="L720" s="417"/>
      <c r="M720" s="417"/>
      <c r="N720" s="417"/>
      <c r="O720" s="417"/>
      <c r="P720" s="417"/>
      <c r="Q720" s="417"/>
      <c r="R720" s="417"/>
      <c r="S720" s="417"/>
      <c r="T720" s="417"/>
      <c r="U720" s="417"/>
      <c r="V720" s="417"/>
      <c r="W720" s="417"/>
      <c r="X720" s="417"/>
      <c r="Y720" s="417"/>
      <c r="Z720" s="417"/>
      <c r="AA720" s="417"/>
      <c r="AB720" s="417"/>
      <c r="AC720" s="417"/>
    </row>
    <row r="721" spans="2:29" x14ac:dyDescent="0.25">
      <c r="B721" s="417"/>
      <c r="C721" s="417"/>
      <c r="D721" s="417"/>
      <c r="E721" s="417"/>
      <c r="F721" s="417"/>
      <c r="G721" s="417"/>
      <c r="H721" s="417"/>
      <c r="I721" s="417"/>
      <c r="J721" s="417"/>
      <c r="K721" s="417"/>
      <c r="L721" s="417"/>
      <c r="M721" s="417"/>
      <c r="N721" s="417"/>
      <c r="O721" s="417"/>
      <c r="P721" s="417"/>
      <c r="Q721" s="417"/>
      <c r="R721" s="417"/>
      <c r="S721" s="417"/>
      <c r="T721" s="417"/>
      <c r="U721" s="417"/>
      <c r="V721" s="417"/>
      <c r="W721" s="417"/>
      <c r="X721" s="417"/>
      <c r="Y721" s="417"/>
      <c r="Z721" s="417"/>
      <c r="AA721" s="417"/>
      <c r="AB721" s="417"/>
      <c r="AC721" s="417"/>
    </row>
    <row r="722" spans="2:29" x14ac:dyDescent="0.25">
      <c r="B722" s="417"/>
      <c r="C722" s="417"/>
      <c r="D722" s="417"/>
      <c r="E722" s="417"/>
      <c r="F722" s="417"/>
      <c r="G722" s="417"/>
      <c r="H722" s="417"/>
      <c r="I722" s="417"/>
      <c r="J722" s="417"/>
      <c r="K722" s="417"/>
      <c r="L722" s="417"/>
      <c r="M722" s="417"/>
      <c r="N722" s="417"/>
      <c r="O722" s="417"/>
      <c r="P722" s="417"/>
      <c r="Q722" s="417"/>
      <c r="R722" s="417"/>
      <c r="S722" s="417"/>
      <c r="T722" s="417"/>
      <c r="U722" s="417"/>
      <c r="V722" s="417"/>
      <c r="W722" s="417"/>
      <c r="X722" s="417"/>
      <c r="Y722" s="417"/>
      <c r="Z722" s="417"/>
      <c r="AA722" s="417"/>
      <c r="AB722" s="417"/>
      <c r="AC722" s="417"/>
    </row>
    <row r="723" spans="2:29" x14ac:dyDescent="0.25">
      <c r="B723" s="417"/>
      <c r="C723" s="417"/>
      <c r="D723" s="417"/>
      <c r="E723" s="417"/>
      <c r="F723" s="417"/>
      <c r="G723" s="417"/>
      <c r="H723" s="417"/>
      <c r="I723" s="417"/>
      <c r="J723" s="417"/>
      <c r="K723" s="417"/>
      <c r="L723" s="417"/>
      <c r="M723" s="417"/>
      <c r="N723" s="417"/>
      <c r="O723" s="417"/>
      <c r="P723" s="417"/>
      <c r="Q723" s="417"/>
      <c r="R723" s="417"/>
      <c r="S723" s="417"/>
      <c r="T723" s="417"/>
      <c r="U723" s="417"/>
      <c r="V723" s="417"/>
      <c r="W723" s="417"/>
      <c r="X723" s="417"/>
      <c r="Y723" s="417"/>
      <c r="Z723" s="417"/>
      <c r="AA723" s="417"/>
      <c r="AB723" s="417"/>
      <c r="AC723" s="417"/>
    </row>
    <row r="724" spans="2:29" x14ac:dyDescent="0.25">
      <c r="B724" s="417"/>
      <c r="C724" s="417"/>
      <c r="D724" s="417"/>
      <c r="E724" s="417"/>
      <c r="F724" s="417"/>
      <c r="G724" s="417"/>
      <c r="H724" s="417"/>
      <c r="I724" s="417"/>
      <c r="J724" s="417"/>
      <c r="K724" s="417"/>
      <c r="L724" s="417"/>
      <c r="M724" s="417"/>
      <c r="N724" s="417"/>
      <c r="O724" s="417"/>
      <c r="P724" s="417"/>
      <c r="Q724" s="417"/>
      <c r="R724" s="417"/>
      <c r="S724" s="417"/>
      <c r="T724" s="417"/>
      <c r="U724" s="417"/>
      <c r="V724" s="417"/>
      <c r="W724" s="417"/>
      <c r="X724" s="417"/>
      <c r="Y724" s="417"/>
      <c r="Z724" s="417"/>
      <c r="AA724" s="417"/>
      <c r="AB724" s="417"/>
      <c r="AC724" s="417"/>
    </row>
    <row r="725" spans="2:29" x14ac:dyDescent="0.25">
      <c r="B725" s="417"/>
      <c r="C725" s="417"/>
      <c r="D725" s="417"/>
      <c r="E725" s="417"/>
      <c r="F725" s="417"/>
      <c r="G725" s="417"/>
      <c r="H725" s="417"/>
      <c r="I725" s="417"/>
      <c r="J725" s="417"/>
      <c r="K725" s="417"/>
      <c r="L725" s="417"/>
      <c r="M725" s="417"/>
      <c r="N725" s="417"/>
      <c r="O725" s="417"/>
      <c r="P725" s="417"/>
      <c r="Q725" s="417"/>
      <c r="R725" s="417"/>
      <c r="S725" s="417"/>
      <c r="T725" s="417"/>
      <c r="U725" s="417"/>
      <c r="V725" s="417"/>
      <c r="W725" s="417"/>
      <c r="X725" s="417"/>
      <c r="Y725" s="417"/>
      <c r="Z725" s="417"/>
      <c r="AA725" s="417"/>
      <c r="AB725" s="417"/>
      <c r="AC725" s="417"/>
    </row>
    <row r="726" spans="2:29" x14ac:dyDescent="0.25">
      <c r="B726" s="417"/>
      <c r="C726" s="417"/>
      <c r="D726" s="417"/>
      <c r="E726" s="417"/>
      <c r="F726" s="417"/>
      <c r="G726" s="417"/>
      <c r="H726" s="417"/>
      <c r="I726" s="417"/>
      <c r="J726" s="417"/>
      <c r="K726" s="417"/>
      <c r="L726" s="417"/>
      <c r="M726" s="417"/>
      <c r="N726" s="417"/>
      <c r="O726" s="417"/>
      <c r="P726" s="417"/>
      <c r="Q726" s="417"/>
      <c r="R726" s="417"/>
      <c r="S726" s="417"/>
      <c r="T726" s="417"/>
      <c r="U726" s="417"/>
      <c r="V726" s="417"/>
      <c r="W726" s="417"/>
      <c r="X726" s="417"/>
      <c r="Y726" s="417"/>
      <c r="Z726" s="417"/>
      <c r="AA726" s="417"/>
      <c r="AB726" s="417"/>
      <c r="AC726" s="417"/>
    </row>
    <row r="727" spans="2:29" x14ac:dyDescent="0.25">
      <c r="B727" s="417"/>
      <c r="C727" s="417"/>
      <c r="D727" s="417"/>
      <c r="E727" s="417"/>
      <c r="F727" s="417"/>
      <c r="G727" s="417"/>
      <c r="H727" s="417"/>
      <c r="I727" s="417"/>
      <c r="J727" s="417"/>
      <c r="K727" s="417"/>
      <c r="L727" s="417"/>
      <c r="M727" s="417"/>
      <c r="N727" s="417"/>
      <c r="O727" s="417"/>
      <c r="P727" s="417"/>
      <c r="Q727" s="417"/>
      <c r="R727" s="417"/>
      <c r="S727" s="417"/>
      <c r="T727" s="417"/>
      <c r="U727" s="417"/>
      <c r="V727" s="417"/>
      <c r="W727" s="417"/>
      <c r="X727" s="417"/>
      <c r="Y727" s="417"/>
      <c r="Z727" s="417"/>
      <c r="AA727" s="417"/>
      <c r="AB727" s="417"/>
      <c r="AC727" s="417"/>
    </row>
    <row r="728" spans="2:29" x14ac:dyDescent="0.25">
      <c r="B728" s="417"/>
      <c r="C728" s="417"/>
      <c r="D728" s="417"/>
      <c r="E728" s="417"/>
      <c r="F728" s="417"/>
      <c r="G728" s="417"/>
      <c r="H728" s="417"/>
      <c r="I728" s="417"/>
      <c r="J728" s="417"/>
      <c r="K728" s="417"/>
      <c r="L728" s="417"/>
      <c r="M728" s="417"/>
      <c r="N728" s="417"/>
      <c r="O728" s="417"/>
      <c r="P728" s="417"/>
      <c r="Q728" s="417"/>
      <c r="R728" s="417"/>
      <c r="S728" s="417"/>
      <c r="T728" s="417"/>
      <c r="U728" s="417"/>
      <c r="V728" s="417"/>
      <c r="W728" s="417"/>
      <c r="X728" s="417"/>
      <c r="Y728" s="417"/>
      <c r="Z728" s="417"/>
      <c r="AA728" s="417"/>
      <c r="AB728" s="417"/>
      <c r="AC728" s="417"/>
    </row>
    <row r="729" spans="2:29" x14ac:dyDescent="0.25">
      <c r="B729" s="417"/>
      <c r="C729" s="417"/>
      <c r="D729" s="417"/>
      <c r="E729" s="417"/>
      <c r="F729" s="417"/>
      <c r="G729" s="417"/>
      <c r="H729" s="417"/>
      <c r="I729" s="417"/>
      <c r="J729" s="417"/>
      <c r="K729" s="417"/>
      <c r="L729" s="417"/>
      <c r="M729" s="417"/>
      <c r="N729" s="417"/>
      <c r="O729" s="417"/>
      <c r="P729" s="417"/>
      <c r="Q729" s="417"/>
      <c r="R729" s="417"/>
      <c r="S729" s="417"/>
      <c r="T729" s="417"/>
      <c r="U729" s="417"/>
      <c r="V729" s="417"/>
      <c r="W729" s="417"/>
      <c r="X729" s="417"/>
      <c r="Y729" s="417"/>
      <c r="Z729" s="417"/>
      <c r="AA729" s="417"/>
      <c r="AB729" s="417"/>
      <c r="AC729" s="417"/>
    </row>
    <row r="730" spans="2:29" x14ac:dyDescent="0.25">
      <c r="B730" s="417"/>
      <c r="C730" s="417"/>
      <c r="D730" s="417"/>
      <c r="E730" s="417"/>
      <c r="F730" s="417"/>
      <c r="G730" s="417"/>
      <c r="H730" s="417"/>
      <c r="I730" s="417"/>
      <c r="J730" s="417"/>
      <c r="K730" s="417"/>
      <c r="L730" s="417"/>
      <c r="M730" s="417"/>
      <c r="N730" s="417"/>
      <c r="O730" s="417"/>
      <c r="P730" s="417"/>
      <c r="Q730" s="417"/>
      <c r="R730" s="417"/>
      <c r="S730" s="417"/>
      <c r="T730" s="417"/>
      <c r="U730" s="417"/>
      <c r="V730" s="417"/>
      <c r="W730" s="417"/>
      <c r="X730" s="417"/>
      <c r="Y730" s="417"/>
      <c r="Z730" s="417"/>
      <c r="AA730" s="417"/>
      <c r="AB730" s="417"/>
      <c r="AC730" s="417"/>
    </row>
    <row r="731" spans="2:29" x14ac:dyDescent="0.25">
      <c r="B731" s="417"/>
      <c r="C731" s="417"/>
      <c r="D731" s="417"/>
      <c r="E731" s="417"/>
      <c r="F731" s="417"/>
      <c r="G731" s="417"/>
      <c r="H731" s="417"/>
      <c r="I731" s="417"/>
      <c r="J731" s="417"/>
      <c r="K731" s="417"/>
      <c r="L731" s="417"/>
      <c r="M731" s="417"/>
      <c r="N731" s="417"/>
      <c r="O731" s="417"/>
      <c r="P731" s="417"/>
      <c r="Q731" s="417"/>
      <c r="R731" s="417"/>
      <c r="S731" s="417"/>
      <c r="T731" s="417"/>
      <c r="U731" s="417"/>
      <c r="V731" s="417"/>
      <c r="W731" s="417"/>
      <c r="X731" s="417"/>
      <c r="Y731" s="417"/>
      <c r="Z731" s="417"/>
      <c r="AA731" s="417"/>
      <c r="AB731" s="417"/>
      <c r="AC731" s="417"/>
    </row>
    <row r="732" spans="2:29" x14ac:dyDescent="0.25">
      <c r="B732" s="417"/>
      <c r="C732" s="417"/>
      <c r="D732" s="417"/>
      <c r="E732" s="417"/>
      <c r="F732" s="417"/>
      <c r="G732" s="417"/>
      <c r="H732" s="417"/>
      <c r="I732" s="417"/>
      <c r="J732" s="417"/>
      <c r="K732" s="417"/>
      <c r="L732" s="417"/>
      <c r="M732" s="417"/>
      <c r="N732" s="417"/>
      <c r="O732" s="417"/>
      <c r="P732" s="417"/>
      <c r="Q732" s="417"/>
      <c r="R732" s="417"/>
      <c r="S732" s="417"/>
      <c r="T732" s="417"/>
      <c r="U732" s="417"/>
      <c r="V732" s="417"/>
      <c r="W732" s="417"/>
      <c r="X732" s="417"/>
      <c r="Y732" s="417"/>
      <c r="Z732" s="417"/>
      <c r="AA732" s="417"/>
      <c r="AB732" s="417"/>
      <c r="AC732" s="417"/>
    </row>
    <row r="733" spans="2:29" x14ac:dyDescent="0.25">
      <c r="B733" s="417"/>
      <c r="C733" s="417"/>
      <c r="D733" s="417"/>
      <c r="E733" s="417"/>
      <c r="F733" s="417"/>
      <c r="G733" s="417"/>
      <c r="H733" s="417"/>
      <c r="I733" s="417"/>
      <c r="J733" s="417"/>
      <c r="K733" s="417"/>
      <c r="L733" s="417"/>
      <c r="M733" s="417"/>
      <c r="N733" s="417"/>
      <c r="O733" s="417"/>
      <c r="P733" s="417"/>
      <c r="Q733" s="417"/>
      <c r="R733" s="417"/>
      <c r="S733" s="417"/>
      <c r="T733" s="417"/>
      <c r="U733" s="417"/>
      <c r="V733" s="417"/>
      <c r="W733" s="417"/>
      <c r="X733" s="417"/>
      <c r="Y733" s="417"/>
      <c r="Z733" s="417"/>
      <c r="AA733" s="417"/>
      <c r="AB733" s="417"/>
      <c r="AC733" s="417"/>
    </row>
    <row r="734" spans="2:29" x14ac:dyDescent="0.25">
      <c r="B734" s="417"/>
      <c r="C734" s="417"/>
      <c r="D734" s="417"/>
      <c r="E734" s="417"/>
      <c r="F734" s="417"/>
      <c r="G734" s="417"/>
      <c r="H734" s="417"/>
      <c r="I734" s="417"/>
      <c r="J734" s="417"/>
      <c r="K734" s="417"/>
      <c r="L734" s="417"/>
      <c r="M734" s="417"/>
      <c r="N734" s="417"/>
      <c r="O734" s="417"/>
      <c r="P734" s="417"/>
      <c r="Q734" s="417"/>
      <c r="R734" s="417"/>
      <c r="S734" s="417"/>
      <c r="T734" s="417"/>
      <c r="U734" s="417"/>
      <c r="V734" s="417"/>
      <c r="W734" s="417"/>
      <c r="X734" s="417"/>
      <c r="Y734" s="417"/>
      <c r="Z734" s="417"/>
      <c r="AA734" s="417"/>
      <c r="AB734" s="417"/>
      <c r="AC734" s="417"/>
    </row>
    <row r="735" spans="2:29" x14ac:dyDescent="0.25">
      <c r="B735" s="417"/>
      <c r="C735" s="417"/>
      <c r="D735" s="417"/>
      <c r="E735" s="417"/>
      <c r="F735" s="417"/>
      <c r="G735" s="417"/>
      <c r="H735" s="417"/>
      <c r="I735" s="417"/>
      <c r="J735" s="417"/>
      <c r="K735" s="417"/>
      <c r="L735" s="417"/>
      <c r="M735" s="417"/>
      <c r="N735" s="417"/>
      <c r="O735" s="417"/>
      <c r="P735" s="417"/>
      <c r="Q735" s="417"/>
      <c r="R735" s="417"/>
      <c r="S735" s="417"/>
      <c r="T735" s="417"/>
      <c r="U735" s="417"/>
      <c r="V735" s="417"/>
      <c r="W735" s="417"/>
      <c r="X735" s="417"/>
      <c r="Y735" s="417"/>
      <c r="Z735" s="417"/>
      <c r="AA735" s="417"/>
      <c r="AB735" s="417"/>
      <c r="AC735" s="417"/>
    </row>
    <row r="736" spans="2:29" x14ac:dyDescent="0.25">
      <c r="B736" s="417"/>
      <c r="C736" s="417"/>
      <c r="D736" s="417"/>
      <c r="E736" s="417"/>
      <c r="F736" s="417"/>
      <c r="G736" s="417"/>
      <c r="H736" s="417"/>
      <c r="I736" s="417"/>
      <c r="J736" s="417"/>
      <c r="K736" s="417"/>
      <c r="L736" s="417"/>
      <c r="M736" s="417"/>
      <c r="N736" s="417"/>
      <c r="O736" s="417"/>
      <c r="P736" s="417"/>
      <c r="Q736" s="417"/>
      <c r="R736" s="417"/>
      <c r="S736" s="417"/>
      <c r="T736" s="417"/>
      <c r="U736" s="417"/>
      <c r="V736" s="417"/>
      <c r="W736" s="417"/>
      <c r="X736" s="417"/>
      <c r="Y736" s="417"/>
      <c r="Z736" s="417"/>
      <c r="AA736" s="417"/>
      <c r="AB736" s="417"/>
      <c r="AC736" s="417"/>
    </row>
    <row r="737" spans="2:29" x14ac:dyDescent="0.25">
      <c r="B737" s="417"/>
      <c r="C737" s="417"/>
      <c r="D737" s="417"/>
      <c r="E737" s="417"/>
      <c r="F737" s="417"/>
      <c r="G737" s="417"/>
      <c r="H737" s="417"/>
      <c r="I737" s="417"/>
      <c r="J737" s="417"/>
      <c r="K737" s="417"/>
      <c r="L737" s="417"/>
      <c r="M737" s="417"/>
      <c r="N737" s="417"/>
      <c r="O737" s="417"/>
      <c r="P737" s="417"/>
      <c r="Q737" s="417"/>
      <c r="R737" s="417"/>
      <c r="S737" s="417"/>
      <c r="T737" s="417"/>
      <c r="U737" s="417"/>
      <c r="V737" s="417"/>
      <c r="W737" s="417"/>
      <c r="X737" s="417"/>
      <c r="Y737" s="417"/>
      <c r="Z737" s="417"/>
      <c r="AA737" s="417"/>
      <c r="AB737" s="417"/>
      <c r="AC737" s="417"/>
    </row>
    <row r="738" spans="2:29" x14ac:dyDescent="0.25">
      <c r="B738" s="417"/>
      <c r="C738" s="417"/>
      <c r="D738" s="417"/>
      <c r="E738" s="417"/>
      <c r="F738" s="417"/>
      <c r="G738" s="417"/>
      <c r="H738" s="417"/>
      <c r="I738" s="417"/>
      <c r="J738" s="417"/>
      <c r="K738" s="417"/>
      <c r="L738" s="417"/>
      <c r="M738" s="417"/>
      <c r="N738" s="417"/>
      <c r="O738" s="417"/>
      <c r="P738" s="417"/>
      <c r="Q738" s="417"/>
      <c r="R738" s="417"/>
      <c r="S738" s="417"/>
      <c r="T738" s="417"/>
      <c r="U738" s="417"/>
      <c r="V738" s="417"/>
      <c r="W738" s="417"/>
      <c r="X738" s="417"/>
      <c r="Y738" s="417"/>
      <c r="Z738" s="417"/>
      <c r="AA738" s="417"/>
      <c r="AB738" s="417"/>
      <c r="AC738" s="417"/>
    </row>
    <row r="739" spans="2:29" x14ac:dyDescent="0.25">
      <c r="B739" s="417"/>
      <c r="C739" s="417"/>
      <c r="D739" s="417"/>
      <c r="E739" s="417"/>
      <c r="F739" s="417"/>
      <c r="G739" s="417"/>
      <c r="H739" s="417"/>
      <c r="I739" s="417"/>
      <c r="J739" s="417"/>
      <c r="K739" s="417"/>
      <c r="L739" s="417"/>
      <c r="M739" s="417"/>
      <c r="N739" s="417"/>
      <c r="O739" s="417"/>
      <c r="P739" s="417"/>
      <c r="Q739" s="417"/>
      <c r="R739" s="417"/>
      <c r="S739" s="417"/>
      <c r="T739" s="417"/>
      <c r="U739" s="417"/>
      <c r="V739" s="417"/>
      <c r="W739" s="417"/>
      <c r="X739" s="417"/>
      <c r="Y739" s="417"/>
      <c r="Z739" s="417"/>
      <c r="AA739" s="417"/>
      <c r="AB739" s="417"/>
      <c r="AC739" s="417"/>
    </row>
    <row r="740" spans="2:29" x14ac:dyDescent="0.25">
      <c r="B740" s="417"/>
      <c r="C740" s="417"/>
      <c r="D740" s="417"/>
      <c r="E740" s="417"/>
      <c r="F740" s="417"/>
      <c r="G740" s="417"/>
      <c r="H740" s="417"/>
      <c r="I740" s="417"/>
      <c r="J740" s="417"/>
      <c r="K740" s="417"/>
      <c r="L740" s="417"/>
      <c r="M740" s="417"/>
      <c r="N740" s="417"/>
      <c r="O740" s="417"/>
      <c r="P740" s="417"/>
      <c r="Q740" s="417"/>
      <c r="R740" s="417"/>
      <c r="S740" s="417"/>
      <c r="T740" s="417"/>
      <c r="U740" s="417"/>
      <c r="V740" s="417"/>
      <c r="W740" s="417"/>
      <c r="X740" s="417"/>
      <c r="Y740" s="417"/>
      <c r="Z740" s="417"/>
      <c r="AA740" s="417"/>
      <c r="AB740" s="417"/>
      <c r="AC740" s="417"/>
    </row>
    <row r="741" spans="2:29" x14ac:dyDescent="0.25">
      <c r="B741" s="417"/>
      <c r="C741" s="417"/>
      <c r="D741" s="417"/>
      <c r="E741" s="417"/>
      <c r="F741" s="417"/>
      <c r="G741" s="417"/>
      <c r="H741" s="417"/>
      <c r="I741" s="417"/>
      <c r="J741" s="417"/>
      <c r="K741" s="417"/>
      <c r="L741" s="417"/>
      <c r="M741" s="417"/>
      <c r="N741" s="417"/>
      <c r="O741" s="417"/>
      <c r="P741" s="417"/>
      <c r="Q741" s="417"/>
      <c r="R741" s="417"/>
      <c r="S741" s="417"/>
      <c r="T741" s="417"/>
      <c r="U741" s="417"/>
      <c r="V741" s="417"/>
      <c r="W741" s="417"/>
      <c r="X741" s="417"/>
      <c r="Y741" s="417"/>
      <c r="Z741" s="417"/>
      <c r="AA741" s="417"/>
      <c r="AB741" s="417"/>
      <c r="AC741" s="417"/>
    </row>
    <row r="742" spans="2:29" x14ac:dyDescent="0.25">
      <c r="B742" s="417"/>
      <c r="C742" s="417"/>
      <c r="D742" s="417"/>
      <c r="E742" s="417"/>
      <c r="F742" s="417"/>
      <c r="G742" s="417"/>
      <c r="H742" s="417"/>
      <c r="I742" s="417"/>
      <c r="J742" s="417"/>
      <c r="K742" s="417"/>
      <c r="L742" s="417"/>
      <c r="M742" s="417"/>
      <c r="N742" s="417"/>
      <c r="O742" s="417"/>
      <c r="P742" s="417"/>
      <c r="Q742" s="417"/>
      <c r="R742" s="417"/>
      <c r="S742" s="417"/>
      <c r="T742" s="417"/>
      <c r="U742" s="417"/>
      <c r="V742" s="417"/>
      <c r="W742" s="417"/>
      <c r="X742" s="417"/>
      <c r="Y742" s="417"/>
      <c r="Z742" s="417"/>
      <c r="AA742" s="417"/>
      <c r="AB742" s="417"/>
      <c r="AC742" s="417"/>
    </row>
    <row r="743" spans="2:29" x14ac:dyDescent="0.25">
      <c r="B743" s="417"/>
      <c r="C743" s="417"/>
      <c r="D743" s="417"/>
      <c r="E743" s="417"/>
      <c r="F743" s="417"/>
      <c r="G743" s="417"/>
      <c r="H743" s="417"/>
      <c r="I743" s="417"/>
      <c r="J743" s="417"/>
      <c r="K743" s="417"/>
      <c r="L743" s="417"/>
      <c r="M743" s="417"/>
      <c r="N743" s="417"/>
      <c r="O743" s="417"/>
      <c r="P743" s="417"/>
      <c r="Q743" s="417"/>
      <c r="R743" s="417"/>
      <c r="S743" s="417"/>
      <c r="T743" s="417"/>
      <c r="U743" s="417"/>
      <c r="V743" s="417"/>
      <c r="W743" s="417"/>
      <c r="X743" s="417"/>
      <c r="Y743" s="417"/>
      <c r="Z743" s="417"/>
      <c r="AA743" s="417"/>
      <c r="AB743" s="417"/>
      <c r="AC743" s="417"/>
    </row>
    <row r="744" spans="2:29" x14ac:dyDescent="0.25">
      <c r="B744" s="417"/>
      <c r="C744" s="417"/>
      <c r="D744" s="417"/>
      <c r="E744" s="417"/>
      <c r="F744" s="417"/>
      <c r="G744" s="417"/>
      <c r="H744" s="417"/>
      <c r="I744" s="417"/>
      <c r="J744" s="417"/>
      <c r="K744" s="417"/>
      <c r="L744" s="417"/>
      <c r="M744" s="417"/>
      <c r="N744" s="417"/>
      <c r="O744" s="417"/>
      <c r="P744" s="417"/>
      <c r="Q744" s="417"/>
      <c r="R744" s="417"/>
      <c r="S744" s="417"/>
      <c r="T744" s="417"/>
      <c r="U744" s="417"/>
      <c r="V744" s="417"/>
      <c r="W744" s="417"/>
      <c r="X744" s="417"/>
      <c r="Y744" s="417"/>
      <c r="Z744" s="417"/>
      <c r="AA744" s="417"/>
      <c r="AB744" s="417"/>
      <c r="AC744" s="417"/>
    </row>
    <row r="745" spans="2:29" x14ac:dyDescent="0.25">
      <c r="B745" s="417"/>
      <c r="C745" s="417"/>
      <c r="D745" s="417"/>
      <c r="E745" s="417"/>
      <c r="F745" s="417"/>
      <c r="G745" s="417"/>
      <c r="H745" s="417"/>
      <c r="I745" s="417"/>
      <c r="J745" s="417"/>
      <c r="K745" s="417"/>
      <c r="L745" s="417"/>
      <c r="M745" s="417"/>
      <c r="N745" s="417"/>
      <c r="O745" s="417"/>
      <c r="P745" s="417"/>
      <c r="Q745" s="417"/>
      <c r="R745" s="417"/>
      <c r="S745" s="417"/>
      <c r="T745" s="417"/>
      <c r="U745" s="417"/>
      <c r="V745" s="417"/>
      <c r="W745" s="417"/>
      <c r="X745" s="417"/>
      <c r="Y745" s="417"/>
      <c r="Z745" s="417"/>
      <c r="AA745" s="417"/>
      <c r="AB745" s="417"/>
      <c r="AC745" s="417"/>
    </row>
    <row r="746" spans="2:29" x14ac:dyDescent="0.25">
      <c r="B746" s="417"/>
      <c r="C746" s="417"/>
      <c r="D746" s="417"/>
      <c r="E746" s="417"/>
      <c r="F746" s="417"/>
      <c r="G746" s="417"/>
      <c r="H746" s="417"/>
      <c r="I746" s="417"/>
      <c r="J746" s="417"/>
      <c r="K746" s="417"/>
      <c r="L746" s="417"/>
      <c r="M746" s="417"/>
      <c r="N746" s="417"/>
      <c r="O746" s="417"/>
      <c r="P746" s="417"/>
      <c r="Q746" s="417"/>
      <c r="R746" s="417"/>
      <c r="S746" s="417"/>
      <c r="T746" s="417"/>
      <c r="U746" s="417"/>
      <c r="V746" s="417"/>
      <c r="W746" s="417"/>
      <c r="X746" s="417"/>
      <c r="Y746" s="417"/>
      <c r="Z746" s="417"/>
      <c r="AA746" s="417"/>
      <c r="AB746" s="417"/>
      <c r="AC746" s="417"/>
    </row>
    <row r="747" spans="2:29" x14ac:dyDescent="0.25">
      <c r="B747" s="417"/>
      <c r="C747" s="417"/>
      <c r="D747" s="417"/>
      <c r="E747" s="417"/>
      <c r="F747" s="417"/>
      <c r="G747" s="417"/>
      <c r="H747" s="417"/>
      <c r="I747" s="417"/>
      <c r="J747" s="417"/>
      <c r="K747" s="417"/>
      <c r="L747" s="417"/>
      <c r="M747" s="417"/>
      <c r="N747" s="417"/>
      <c r="O747" s="417"/>
      <c r="P747" s="417"/>
      <c r="Q747" s="417"/>
      <c r="R747" s="417"/>
      <c r="S747" s="417"/>
      <c r="T747" s="417"/>
      <c r="U747" s="417"/>
      <c r="V747" s="417"/>
      <c r="W747" s="417"/>
      <c r="X747" s="417"/>
      <c r="Y747" s="417"/>
      <c r="Z747" s="417"/>
      <c r="AA747" s="417"/>
      <c r="AB747" s="417"/>
      <c r="AC747" s="417"/>
    </row>
    <row r="748" spans="2:29" x14ac:dyDescent="0.25">
      <c r="B748" s="417"/>
      <c r="C748" s="417"/>
      <c r="D748" s="417"/>
      <c r="E748" s="417"/>
      <c r="F748" s="417"/>
      <c r="G748" s="417"/>
      <c r="H748" s="417"/>
      <c r="I748" s="417"/>
      <c r="J748" s="417"/>
      <c r="K748" s="417"/>
      <c r="L748" s="417"/>
      <c r="M748" s="417"/>
      <c r="N748" s="417"/>
      <c r="O748" s="417"/>
      <c r="P748" s="417"/>
      <c r="Q748" s="417"/>
      <c r="R748" s="417"/>
      <c r="S748" s="417"/>
      <c r="T748" s="417"/>
      <c r="U748" s="417"/>
      <c r="V748" s="417"/>
      <c r="W748" s="417"/>
      <c r="X748" s="417"/>
      <c r="Y748" s="417"/>
      <c r="Z748" s="417"/>
      <c r="AA748" s="417"/>
      <c r="AB748" s="417"/>
      <c r="AC748" s="417"/>
    </row>
    <row r="749" spans="2:29" x14ac:dyDescent="0.25">
      <c r="B749" s="417"/>
      <c r="C749" s="417"/>
      <c r="D749" s="417"/>
      <c r="E749" s="417"/>
      <c r="F749" s="417"/>
      <c r="G749" s="417"/>
      <c r="H749" s="417"/>
      <c r="I749" s="417"/>
      <c r="J749" s="417"/>
      <c r="K749" s="417"/>
      <c r="L749" s="417"/>
      <c r="M749" s="417"/>
      <c r="N749" s="417"/>
      <c r="O749" s="417"/>
      <c r="P749" s="417"/>
      <c r="Q749" s="417"/>
      <c r="R749" s="417"/>
      <c r="S749" s="417"/>
      <c r="T749" s="417"/>
      <c r="U749" s="417"/>
      <c r="V749" s="417"/>
      <c r="W749" s="417"/>
      <c r="X749" s="417"/>
      <c r="Y749" s="417"/>
      <c r="Z749" s="417"/>
      <c r="AA749" s="417"/>
      <c r="AB749" s="417"/>
      <c r="AC749" s="417"/>
    </row>
    <row r="750" spans="2:29" x14ac:dyDescent="0.25">
      <c r="B750" s="417"/>
      <c r="C750" s="417"/>
      <c r="D750" s="417"/>
      <c r="E750" s="417"/>
      <c r="F750" s="417"/>
      <c r="G750" s="417"/>
      <c r="H750" s="417"/>
      <c r="I750" s="417"/>
      <c r="J750" s="417"/>
      <c r="K750" s="417"/>
      <c r="L750" s="417"/>
      <c r="M750" s="417"/>
      <c r="N750" s="417"/>
      <c r="O750" s="417"/>
      <c r="P750" s="417"/>
      <c r="Q750" s="417"/>
      <c r="R750" s="417"/>
      <c r="S750" s="417"/>
      <c r="T750" s="417"/>
      <c r="U750" s="417"/>
      <c r="V750" s="417"/>
      <c r="W750" s="417"/>
      <c r="X750" s="417"/>
      <c r="Y750" s="417"/>
      <c r="Z750" s="417"/>
      <c r="AA750" s="417"/>
      <c r="AB750" s="417"/>
      <c r="AC750" s="417"/>
    </row>
    <row r="751" spans="2:29" x14ac:dyDescent="0.25">
      <c r="B751" s="417"/>
      <c r="C751" s="417"/>
      <c r="D751" s="417"/>
      <c r="E751" s="417"/>
      <c r="F751" s="417"/>
      <c r="G751" s="417"/>
      <c r="H751" s="417"/>
      <c r="I751" s="417"/>
      <c r="J751" s="417"/>
      <c r="K751" s="417"/>
      <c r="L751" s="417"/>
      <c r="M751" s="417"/>
      <c r="N751" s="417"/>
      <c r="O751" s="417"/>
      <c r="P751" s="417"/>
      <c r="Q751" s="417"/>
      <c r="R751" s="417"/>
      <c r="S751" s="417"/>
      <c r="T751" s="417"/>
      <c r="U751" s="417"/>
      <c r="V751" s="417"/>
      <c r="W751" s="417"/>
      <c r="X751" s="417"/>
      <c r="Y751" s="417"/>
      <c r="Z751" s="417"/>
      <c r="AA751" s="417"/>
      <c r="AB751" s="417"/>
      <c r="AC751" s="417"/>
    </row>
    <row r="752" spans="2:29" x14ac:dyDescent="0.25">
      <c r="B752" s="417"/>
      <c r="C752" s="417"/>
      <c r="D752" s="417"/>
      <c r="E752" s="417"/>
      <c r="F752" s="417"/>
      <c r="G752" s="417"/>
      <c r="H752" s="417"/>
      <c r="I752" s="417"/>
      <c r="J752" s="417"/>
      <c r="K752" s="417"/>
      <c r="L752" s="417"/>
      <c r="M752" s="417"/>
      <c r="N752" s="417"/>
      <c r="O752" s="417"/>
      <c r="P752" s="417"/>
      <c r="Q752" s="417"/>
      <c r="R752" s="417"/>
      <c r="S752" s="417"/>
      <c r="T752" s="417"/>
      <c r="U752" s="417"/>
      <c r="V752" s="417"/>
      <c r="W752" s="417"/>
      <c r="X752" s="417"/>
      <c r="Y752" s="417"/>
      <c r="Z752" s="417"/>
      <c r="AA752" s="417"/>
      <c r="AB752" s="417"/>
      <c r="AC752" s="417"/>
    </row>
    <row r="753" spans="2:29" x14ac:dyDescent="0.25">
      <c r="B753" s="417"/>
      <c r="C753" s="417"/>
      <c r="D753" s="417"/>
      <c r="E753" s="417"/>
      <c r="F753" s="417"/>
      <c r="G753" s="417"/>
      <c r="H753" s="417"/>
      <c r="I753" s="417"/>
      <c r="J753" s="417"/>
      <c r="K753" s="417"/>
      <c r="L753" s="417"/>
      <c r="M753" s="417"/>
      <c r="N753" s="417"/>
      <c r="O753" s="417"/>
      <c r="P753" s="417"/>
      <c r="Q753" s="417"/>
      <c r="R753" s="417"/>
      <c r="S753" s="417"/>
      <c r="T753" s="417"/>
      <c r="U753" s="417"/>
      <c r="V753" s="417"/>
      <c r="W753" s="417"/>
      <c r="X753" s="417"/>
      <c r="Y753" s="417"/>
      <c r="Z753" s="417"/>
      <c r="AA753" s="417"/>
      <c r="AB753" s="417"/>
      <c r="AC753" s="417"/>
    </row>
    <row r="754" spans="2:29" x14ac:dyDescent="0.25">
      <c r="B754" s="417"/>
      <c r="C754" s="417"/>
      <c r="D754" s="417"/>
      <c r="E754" s="417"/>
      <c r="F754" s="417"/>
      <c r="G754" s="417"/>
      <c r="H754" s="417"/>
      <c r="I754" s="417"/>
      <c r="J754" s="417"/>
      <c r="K754" s="417"/>
      <c r="L754" s="417"/>
      <c r="M754" s="417"/>
      <c r="N754" s="417"/>
      <c r="O754" s="417"/>
      <c r="P754" s="417"/>
      <c r="Q754" s="417"/>
      <c r="R754" s="417"/>
      <c r="S754" s="417"/>
      <c r="T754" s="417"/>
      <c r="U754" s="417"/>
      <c r="V754" s="417"/>
      <c r="W754" s="417"/>
      <c r="X754" s="417"/>
      <c r="Y754" s="417"/>
      <c r="Z754" s="417"/>
      <c r="AA754" s="417"/>
      <c r="AB754" s="417"/>
      <c r="AC754" s="417"/>
    </row>
    <row r="755" spans="2:29" x14ac:dyDescent="0.25">
      <c r="B755" s="417"/>
      <c r="C755" s="417"/>
      <c r="D755" s="417"/>
      <c r="E755" s="417"/>
      <c r="F755" s="417"/>
      <c r="G755" s="417"/>
      <c r="H755" s="417"/>
      <c r="I755" s="417"/>
      <c r="J755" s="417"/>
      <c r="K755" s="417"/>
      <c r="L755" s="417"/>
      <c r="M755" s="417"/>
      <c r="N755" s="417"/>
      <c r="O755" s="417"/>
      <c r="P755" s="417"/>
      <c r="Q755" s="417"/>
      <c r="R755" s="417"/>
      <c r="S755" s="417"/>
      <c r="T755" s="417"/>
      <c r="U755" s="417"/>
      <c r="V755" s="417"/>
      <c r="W755" s="417"/>
      <c r="X755" s="417"/>
      <c r="Y755" s="417"/>
      <c r="Z755" s="417"/>
      <c r="AA755" s="417"/>
      <c r="AB755" s="417"/>
      <c r="AC755" s="417"/>
    </row>
    <row r="756" spans="2:29" x14ac:dyDescent="0.25">
      <c r="B756" s="417"/>
      <c r="C756" s="417"/>
      <c r="D756" s="417"/>
      <c r="E756" s="417"/>
      <c r="F756" s="417"/>
      <c r="G756" s="417"/>
      <c r="H756" s="417"/>
      <c r="I756" s="417"/>
      <c r="J756" s="417"/>
      <c r="K756" s="417"/>
      <c r="L756" s="417"/>
      <c r="M756" s="417"/>
      <c r="N756" s="417"/>
      <c r="O756" s="417"/>
      <c r="P756" s="417"/>
      <c r="Q756" s="417"/>
      <c r="R756" s="417"/>
      <c r="S756" s="417"/>
      <c r="T756" s="417"/>
      <c r="U756" s="417"/>
      <c r="V756" s="417"/>
      <c r="W756" s="417"/>
      <c r="X756" s="417"/>
      <c r="Y756" s="417"/>
      <c r="Z756" s="417"/>
      <c r="AA756" s="417"/>
      <c r="AB756" s="417"/>
      <c r="AC756" s="417"/>
    </row>
    <row r="757" spans="2:29" x14ac:dyDescent="0.25">
      <c r="B757" s="417"/>
      <c r="C757" s="417"/>
      <c r="D757" s="417"/>
      <c r="E757" s="417"/>
      <c r="F757" s="417"/>
      <c r="G757" s="417"/>
      <c r="H757" s="417"/>
      <c r="I757" s="417"/>
      <c r="J757" s="417"/>
      <c r="K757" s="417"/>
      <c r="L757" s="417"/>
      <c r="M757" s="417"/>
      <c r="N757" s="417"/>
      <c r="O757" s="417"/>
      <c r="P757" s="417"/>
      <c r="Q757" s="417"/>
      <c r="R757" s="417"/>
      <c r="S757" s="417"/>
      <c r="T757" s="417"/>
      <c r="U757" s="417"/>
      <c r="V757" s="417"/>
      <c r="W757" s="417"/>
      <c r="X757" s="417"/>
      <c r="Y757" s="417"/>
      <c r="Z757" s="417"/>
      <c r="AA757" s="417"/>
      <c r="AB757" s="417"/>
      <c r="AC757" s="417"/>
    </row>
    <row r="758" spans="2:29" x14ac:dyDescent="0.25">
      <c r="B758" s="417"/>
      <c r="C758" s="417"/>
      <c r="D758" s="417"/>
      <c r="E758" s="417"/>
      <c r="F758" s="417"/>
      <c r="G758" s="417"/>
      <c r="H758" s="417"/>
      <c r="I758" s="417"/>
      <c r="J758" s="417"/>
      <c r="K758" s="417"/>
      <c r="L758" s="417"/>
      <c r="M758" s="417"/>
      <c r="N758" s="417"/>
      <c r="O758" s="417"/>
      <c r="P758" s="417"/>
      <c r="Q758" s="417"/>
      <c r="R758" s="417"/>
      <c r="S758" s="417"/>
      <c r="T758" s="417"/>
      <c r="U758" s="417"/>
      <c r="V758" s="417"/>
      <c r="W758" s="417"/>
      <c r="X758" s="417"/>
      <c r="Y758" s="417"/>
      <c r="Z758" s="417"/>
      <c r="AA758" s="417"/>
      <c r="AB758" s="417"/>
      <c r="AC758" s="417"/>
    </row>
    <row r="759" spans="2:29" x14ac:dyDescent="0.25">
      <c r="B759" s="417"/>
      <c r="C759" s="417"/>
      <c r="D759" s="417"/>
      <c r="E759" s="417"/>
      <c r="F759" s="417"/>
      <c r="G759" s="417"/>
      <c r="H759" s="417"/>
      <c r="I759" s="417"/>
      <c r="J759" s="417"/>
      <c r="K759" s="417"/>
      <c r="L759" s="417"/>
      <c r="M759" s="417"/>
      <c r="N759" s="417"/>
      <c r="O759" s="417"/>
      <c r="P759" s="417"/>
      <c r="Q759" s="417"/>
      <c r="R759" s="417"/>
      <c r="S759" s="417"/>
      <c r="T759" s="417"/>
      <c r="U759" s="417"/>
      <c r="V759" s="417"/>
      <c r="W759" s="417"/>
      <c r="X759" s="417"/>
      <c r="Y759" s="417"/>
      <c r="Z759" s="417"/>
      <c r="AA759" s="417"/>
      <c r="AB759" s="417"/>
      <c r="AC759" s="417"/>
    </row>
    <row r="760" spans="2:29" x14ac:dyDescent="0.25">
      <c r="B760" s="417"/>
      <c r="C760" s="417"/>
      <c r="D760" s="417"/>
      <c r="E760" s="417"/>
      <c r="F760" s="417"/>
      <c r="G760" s="417"/>
      <c r="H760" s="417"/>
      <c r="I760" s="417"/>
      <c r="J760" s="417"/>
      <c r="K760" s="417"/>
      <c r="L760" s="417"/>
      <c r="M760" s="417"/>
      <c r="N760" s="417"/>
      <c r="O760" s="417"/>
      <c r="P760" s="417"/>
      <c r="Q760" s="417"/>
      <c r="R760" s="417"/>
      <c r="S760" s="417"/>
      <c r="T760" s="417"/>
      <c r="U760" s="417"/>
      <c r="V760" s="417"/>
      <c r="W760" s="417"/>
      <c r="X760" s="417"/>
      <c r="Y760" s="417"/>
      <c r="Z760" s="417"/>
      <c r="AA760" s="417"/>
      <c r="AB760" s="417"/>
      <c r="AC760" s="417"/>
    </row>
    <row r="761" spans="2:29" x14ac:dyDescent="0.25">
      <c r="B761" s="417"/>
      <c r="C761" s="417"/>
      <c r="D761" s="417"/>
      <c r="E761" s="417"/>
      <c r="F761" s="417"/>
      <c r="G761" s="417"/>
      <c r="H761" s="417"/>
      <c r="I761" s="417"/>
      <c r="J761" s="417"/>
      <c r="K761" s="417"/>
      <c r="L761" s="417"/>
      <c r="M761" s="417"/>
      <c r="N761" s="417"/>
      <c r="O761" s="417"/>
      <c r="P761" s="417"/>
      <c r="Q761" s="417"/>
      <c r="R761" s="417"/>
      <c r="S761" s="417"/>
      <c r="T761" s="417"/>
      <c r="U761" s="417"/>
      <c r="V761" s="417"/>
      <c r="W761" s="417"/>
      <c r="X761" s="417"/>
      <c r="Y761" s="417"/>
      <c r="Z761" s="417"/>
      <c r="AA761" s="417"/>
      <c r="AB761" s="417"/>
      <c r="AC761" s="417"/>
    </row>
    <row r="762" spans="2:29" x14ac:dyDescent="0.25">
      <c r="B762" s="417"/>
      <c r="C762" s="417"/>
      <c r="D762" s="417"/>
      <c r="E762" s="417"/>
      <c r="F762" s="417"/>
      <c r="G762" s="417"/>
      <c r="H762" s="417"/>
      <c r="I762" s="417"/>
      <c r="J762" s="417"/>
      <c r="K762" s="417"/>
      <c r="L762" s="417"/>
      <c r="M762" s="417"/>
      <c r="N762" s="417"/>
      <c r="O762" s="417"/>
      <c r="P762" s="417"/>
      <c r="Q762" s="417"/>
      <c r="R762" s="417"/>
      <c r="S762" s="417"/>
      <c r="T762" s="417"/>
      <c r="U762" s="417"/>
      <c r="V762" s="417"/>
      <c r="W762" s="417"/>
      <c r="X762" s="417"/>
      <c r="Y762" s="417"/>
      <c r="Z762" s="417"/>
      <c r="AA762" s="417"/>
      <c r="AB762" s="417"/>
      <c r="AC762" s="417"/>
    </row>
    <row r="763" spans="2:29" x14ac:dyDescent="0.25">
      <c r="B763" s="417"/>
      <c r="C763" s="417"/>
      <c r="D763" s="417"/>
      <c r="E763" s="417"/>
      <c r="F763" s="417"/>
      <c r="G763" s="417"/>
      <c r="H763" s="417"/>
      <c r="I763" s="417"/>
      <c r="J763" s="417"/>
      <c r="K763" s="417"/>
      <c r="L763" s="417"/>
      <c r="M763" s="417"/>
      <c r="N763" s="417"/>
      <c r="O763" s="417"/>
      <c r="P763" s="417"/>
      <c r="Q763" s="417"/>
      <c r="R763" s="417"/>
      <c r="S763" s="417"/>
      <c r="T763" s="417"/>
      <c r="U763" s="417"/>
      <c r="V763" s="417"/>
      <c r="W763" s="417"/>
      <c r="X763" s="417"/>
      <c r="Y763" s="417"/>
      <c r="Z763" s="417"/>
      <c r="AA763" s="417"/>
      <c r="AB763" s="417"/>
      <c r="AC763" s="417"/>
    </row>
    <row r="764" spans="2:29" x14ac:dyDescent="0.25">
      <c r="B764" s="417"/>
      <c r="C764" s="417"/>
      <c r="D764" s="417"/>
      <c r="E764" s="417"/>
      <c r="F764" s="417"/>
      <c r="G764" s="417"/>
      <c r="H764" s="417"/>
      <c r="I764" s="417"/>
      <c r="J764" s="417"/>
      <c r="K764" s="417"/>
      <c r="L764" s="417"/>
      <c r="M764" s="417"/>
      <c r="N764" s="417"/>
      <c r="O764" s="417"/>
      <c r="P764" s="417"/>
      <c r="Q764" s="417"/>
      <c r="R764" s="417"/>
      <c r="S764" s="417"/>
      <c r="T764" s="417"/>
      <c r="U764" s="417"/>
      <c r="V764" s="417"/>
      <c r="W764" s="417"/>
      <c r="X764" s="417"/>
      <c r="Y764" s="417"/>
      <c r="Z764" s="417"/>
      <c r="AA764" s="417"/>
      <c r="AB764" s="417"/>
      <c r="AC764" s="417"/>
    </row>
    <row r="765" spans="2:29" x14ac:dyDescent="0.25">
      <c r="B765" s="417"/>
      <c r="C765" s="417"/>
      <c r="D765" s="417"/>
      <c r="E765" s="417"/>
      <c r="F765" s="417"/>
      <c r="G765" s="417"/>
      <c r="H765" s="417"/>
      <c r="I765" s="417"/>
      <c r="J765" s="417"/>
      <c r="K765" s="417"/>
      <c r="L765" s="417"/>
      <c r="M765" s="417"/>
      <c r="N765" s="417"/>
      <c r="O765" s="417"/>
      <c r="P765" s="417"/>
      <c r="Q765" s="417"/>
      <c r="R765" s="417"/>
      <c r="S765" s="417"/>
      <c r="T765" s="417"/>
      <c r="U765" s="417"/>
      <c r="V765" s="417"/>
      <c r="W765" s="417"/>
      <c r="X765" s="417"/>
      <c r="Y765" s="417"/>
      <c r="Z765" s="417"/>
      <c r="AA765" s="417"/>
      <c r="AB765" s="417"/>
      <c r="AC765" s="417"/>
    </row>
    <row r="766" spans="2:29" x14ac:dyDescent="0.25">
      <c r="B766" s="417"/>
      <c r="C766" s="417"/>
      <c r="D766" s="417"/>
      <c r="E766" s="417"/>
      <c r="F766" s="417"/>
      <c r="G766" s="417"/>
      <c r="H766" s="417"/>
      <c r="I766" s="417"/>
      <c r="J766" s="417"/>
      <c r="K766" s="417"/>
      <c r="L766" s="417"/>
      <c r="M766" s="417"/>
      <c r="N766" s="417"/>
      <c r="O766" s="417"/>
      <c r="P766" s="417"/>
      <c r="Q766" s="417"/>
      <c r="R766" s="417"/>
      <c r="S766" s="417"/>
      <c r="T766" s="417"/>
      <c r="U766" s="417"/>
      <c r="V766" s="417"/>
      <c r="W766" s="417"/>
      <c r="X766" s="417"/>
      <c r="Y766" s="417"/>
      <c r="Z766" s="417"/>
      <c r="AA766" s="417"/>
      <c r="AB766" s="417"/>
      <c r="AC766" s="417"/>
    </row>
    <row r="767" spans="2:29" x14ac:dyDescent="0.25">
      <c r="B767" s="417"/>
      <c r="C767" s="417"/>
      <c r="D767" s="417"/>
      <c r="E767" s="417"/>
      <c r="F767" s="417"/>
      <c r="G767" s="417"/>
      <c r="H767" s="417"/>
      <c r="I767" s="417"/>
      <c r="J767" s="417"/>
      <c r="K767" s="417"/>
      <c r="L767" s="417"/>
      <c r="M767" s="417"/>
      <c r="N767" s="417"/>
      <c r="O767" s="417"/>
      <c r="P767" s="417"/>
      <c r="Q767" s="417"/>
      <c r="R767" s="417"/>
      <c r="S767" s="417"/>
      <c r="T767" s="417"/>
      <c r="U767" s="417"/>
      <c r="V767" s="417"/>
      <c r="W767" s="417"/>
      <c r="X767" s="417"/>
      <c r="Y767" s="417"/>
      <c r="Z767" s="417"/>
      <c r="AA767" s="417"/>
      <c r="AB767" s="417"/>
      <c r="AC767" s="417"/>
    </row>
    <row r="768" spans="2:29" x14ac:dyDescent="0.25">
      <c r="B768" s="417"/>
      <c r="C768" s="417"/>
      <c r="D768" s="417"/>
      <c r="E768" s="417"/>
      <c r="F768" s="417"/>
      <c r="G768" s="417"/>
      <c r="H768" s="417"/>
      <c r="I768" s="417"/>
      <c r="J768" s="417"/>
      <c r="K768" s="417"/>
      <c r="L768" s="417"/>
      <c r="M768" s="417"/>
      <c r="N768" s="417"/>
      <c r="O768" s="417"/>
      <c r="P768" s="417"/>
      <c r="Q768" s="417"/>
      <c r="R768" s="417"/>
      <c r="S768" s="417"/>
      <c r="T768" s="417"/>
      <c r="U768" s="417"/>
      <c r="V768" s="417"/>
      <c r="W768" s="417"/>
      <c r="X768" s="417"/>
      <c r="Y768" s="417"/>
      <c r="Z768" s="417"/>
      <c r="AA768" s="417"/>
      <c r="AB768" s="417"/>
      <c r="AC768" s="417"/>
    </row>
    <row r="769" spans="2:29" x14ac:dyDescent="0.25">
      <c r="B769" s="417"/>
      <c r="C769" s="417"/>
      <c r="D769" s="417"/>
      <c r="E769" s="417"/>
      <c r="F769" s="417"/>
      <c r="G769" s="417"/>
      <c r="H769" s="417"/>
      <c r="I769" s="417"/>
      <c r="J769" s="417"/>
      <c r="K769" s="417"/>
      <c r="L769" s="417"/>
      <c r="M769" s="417"/>
      <c r="N769" s="417"/>
      <c r="O769" s="417"/>
      <c r="P769" s="417"/>
      <c r="Q769" s="417"/>
      <c r="R769" s="417"/>
      <c r="S769" s="417"/>
      <c r="T769" s="417"/>
      <c r="U769" s="417"/>
      <c r="V769" s="417"/>
      <c r="W769" s="417"/>
      <c r="X769" s="417"/>
      <c r="Y769" s="417"/>
      <c r="Z769" s="417"/>
      <c r="AA769" s="417"/>
      <c r="AB769" s="417"/>
      <c r="AC769" s="417"/>
    </row>
    <row r="770" spans="2:29" x14ac:dyDescent="0.25">
      <c r="B770" s="417"/>
      <c r="C770" s="417"/>
      <c r="D770" s="417"/>
      <c r="E770" s="417"/>
      <c r="F770" s="417"/>
      <c r="G770" s="417"/>
      <c r="H770" s="417"/>
      <c r="I770" s="417"/>
      <c r="J770" s="417"/>
      <c r="K770" s="417"/>
      <c r="L770" s="417"/>
      <c r="M770" s="417"/>
      <c r="N770" s="417"/>
      <c r="O770" s="417"/>
      <c r="P770" s="417"/>
      <c r="Q770" s="417"/>
      <c r="R770" s="417"/>
      <c r="S770" s="417"/>
      <c r="T770" s="417"/>
      <c r="U770" s="417"/>
      <c r="V770" s="417"/>
      <c r="W770" s="417"/>
      <c r="X770" s="417"/>
      <c r="Y770" s="417"/>
      <c r="Z770" s="417"/>
      <c r="AA770" s="417"/>
      <c r="AB770" s="417"/>
      <c r="AC770" s="417"/>
    </row>
    <row r="771" spans="2:29" x14ac:dyDescent="0.25">
      <c r="B771" s="417"/>
      <c r="C771" s="417"/>
      <c r="D771" s="417"/>
      <c r="E771" s="417"/>
      <c r="F771" s="417"/>
      <c r="G771" s="417"/>
      <c r="H771" s="417"/>
      <c r="I771" s="417"/>
      <c r="J771" s="417"/>
      <c r="K771" s="417"/>
      <c r="L771" s="417"/>
      <c r="M771" s="417"/>
      <c r="N771" s="417"/>
      <c r="O771" s="417"/>
      <c r="P771" s="417"/>
      <c r="Q771" s="417"/>
      <c r="R771" s="417"/>
      <c r="S771" s="417"/>
      <c r="T771" s="417"/>
      <c r="U771" s="417"/>
      <c r="V771" s="417"/>
      <c r="W771" s="417"/>
      <c r="X771" s="417"/>
      <c r="Y771" s="417"/>
      <c r="Z771" s="417"/>
      <c r="AA771" s="417"/>
      <c r="AB771" s="417"/>
      <c r="AC771" s="417"/>
    </row>
    <row r="772" spans="2:29" x14ac:dyDescent="0.25">
      <c r="B772" s="417"/>
      <c r="C772" s="417"/>
      <c r="D772" s="417"/>
      <c r="E772" s="417"/>
      <c r="F772" s="417"/>
      <c r="G772" s="417"/>
      <c r="H772" s="417"/>
      <c r="I772" s="417"/>
      <c r="J772" s="417"/>
      <c r="K772" s="417"/>
      <c r="L772" s="417"/>
      <c r="M772" s="417"/>
      <c r="N772" s="417"/>
      <c r="O772" s="417"/>
      <c r="P772" s="417"/>
      <c r="Q772" s="417"/>
      <c r="R772" s="417"/>
      <c r="S772" s="417"/>
      <c r="T772" s="417"/>
      <c r="U772" s="417"/>
      <c r="V772" s="417"/>
      <c r="W772" s="417"/>
      <c r="X772" s="417"/>
      <c r="Y772" s="417"/>
      <c r="Z772" s="417"/>
      <c r="AA772" s="417"/>
      <c r="AB772" s="417"/>
      <c r="AC772" s="417"/>
    </row>
    <row r="773" spans="2:29" x14ac:dyDescent="0.25">
      <c r="B773" s="417"/>
      <c r="C773" s="417"/>
      <c r="D773" s="417"/>
      <c r="E773" s="417"/>
      <c r="F773" s="417"/>
      <c r="G773" s="417"/>
      <c r="H773" s="417"/>
      <c r="I773" s="417"/>
      <c r="J773" s="417"/>
      <c r="K773" s="417"/>
      <c r="L773" s="417"/>
      <c r="M773" s="417"/>
      <c r="N773" s="417"/>
      <c r="O773" s="417"/>
      <c r="P773" s="417"/>
      <c r="Q773" s="417"/>
      <c r="R773" s="417"/>
      <c r="S773" s="417"/>
      <c r="T773" s="417"/>
      <c r="U773" s="417"/>
      <c r="V773" s="417"/>
      <c r="W773" s="417"/>
      <c r="X773" s="417"/>
      <c r="Y773" s="417"/>
      <c r="Z773" s="417"/>
      <c r="AA773" s="417"/>
      <c r="AB773" s="417"/>
      <c r="AC773" s="417"/>
    </row>
    <row r="774" spans="2:29" x14ac:dyDescent="0.25">
      <c r="B774" s="417"/>
      <c r="C774" s="417"/>
      <c r="D774" s="417"/>
      <c r="E774" s="417"/>
      <c r="F774" s="417"/>
      <c r="G774" s="417"/>
      <c r="H774" s="417"/>
      <c r="I774" s="417"/>
      <c r="J774" s="417"/>
      <c r="K774" s="417"/>
      <c r="L774" s="417"/>
      <c r="M774" s="417"/>
      <c r="N774" s="417"/>
      <c r="O774" s="417"/>
      <c r="P774" s="417"/>
      <c r="Q774" s="417"/>
      <c r="R774" s="417"/>
      <c r="S774" s="417"/>
      <c r="T774" s="417"/>
      <c r="U774" s="417"/>
      <c r="V774" s="417"/>
      <c r="W774" s="417"/>
      <c r="X774" s="417"/>
      <c r="Y774" s="417"/>
      <c r="Z774" s="417"/>
      <c r="AA774" s="417"/>
      <c r="AB774" s="417"/>
      <c r="AC774" s="417"/>
    </row>
    <row r="775" spans="2:29" x14ac:dyDescent="0.25">
      <c r="B775" s="417"/>
      <c r="C775" s="417"/>
      <c r="D775" s="417"/>
      <c r="E775" s="417"/>
      <c r="F775" s="417"/>
      <c r="G775" s="417"/>
      <c r="H775" s="417"/>
      <c r="I775" s="417"/>
      <c r="J775" s="417"/>
      <c r="K775" s="417"/>
      <c r="L775" s="417"/>
      <c r="M775" s="417"/>
      <c r="N775" s="417"/>
      <c r="O775" s="417"/>
      <c r="P775" s="417"/>
      <c r="Q775" s="417"/>
      <c r="R775" s="417"/>
      <c r="S775" s="417"/>
      <c r="T775" s="417"/>
      <c r="U775" s="417"/>
      <c r="V775" s="417"/>
      <c r="W775" s="417"/>
      <c r="X775" s="417"/>
      <c r="Y775" s="417"/>
      <c r="Z775" s="417"/>
      <c r="AA775" s="417"/>
      <c r="AB775" s="417"/>
      <c r="AC775" s="417"/>
    </row>
    <row r="776" spans="2:29" x14ac:dyDescent="0.25">
      <c r="B776" s="417"/>
      <c r="C776" s="417"/>
      <c r="D776" s="417"/>
      <c r="E776" s="417"/>
      <c r="F776" s="417"/>
      <c r="G776" s="417"/>
      <c r="H776" s="417"/>
      <c r="I776" s="417"/>
      <c r="J776" s="417"/>
      <c r="K776" s="417"/>
      <c r="L776" s="417"/>
      <c r="M776" s="417"/>
      <c r="N776" s="417"/>
      <c r="O776" s="417"/>
      <c r="P776" s="417"/>
      <c r="Q776" s="417"/>
      <c r="R776" s="417"/>
      <c r="S776" s="417"/>
      <c r="T776" s="417"/>
      <c r="U776" s="417"/>
      <c r="V776" s="417"/>
      <c r="W776" s="417"/>
      <c r="X776" s="417"/>
      <c r="Y776" s="417"/>
      <c r="Z776" s="417"/>
      <c r="AA776" s="417"/>
      <c r="AB776" s="417"/>
      <c r="AC776" s="417"/>
    </row>
    <row r="777" spans="2:29" x14ac:dyDescent="0.25">
      <c r="B777" s="417"/>
      <c r="C777" s="417"/>
      <c r="D777" s="417"/>
      <c r="E777" s="417"/>
      <c r="F777" s="417"/>
      <c r="G777" s="417"/>
      <c r="H777" s="417"/>
      <c r="I777" s="417"/>
      <c r="J777" s="417"/>
      <c r="K777" s="417"/>
      <c r="L777" s="417"/>
      <c r="M777" s="417"/>
      <c r="N777" s="417"/>
      <c r="O777" s="417"/>
      <c r="P777" s="417"/>
      <c r="Q777" s="417"/>
      <c r="R777" s="417"/>
      <c r="S777" s="417"/>
      <c r="T777" s="417"/>
      <c r="U777" s="417"/>
      <c r="V777" s="417"/>
      <c r="W777" s="417"/>
      <c r="X777" s="417"/>
      <c r="Y777" s="417"/>
      <c r="Z777" s="417"/>
      <c r="AA777" s="417"/>
      <c r="AB777" s="417"/>
      <c r="AC777" s="417"/>
    </row>
    <row r="778" spans="2:29" x14ac:dyDescent="0.25">
      <c r="B778" s="417"/>
      <c r="C778" s="417"/>
      <c r="D778" s="417"/>
      <c r="E778" s="417"/>
      <c r="F778" s="417"/>
      <c r="G778" s="417"/>
      <c r="H778" s="417"/>
      <c r="I778" s="417"/>
      <c r="J778" s="417"/>
      <c r="K778" s="417"/>
      <c r="L778" s="417"/>
      <c r="M778" s="417"/>
      <c r="N778" s="417"/>
      <c r="O778" s="417"/>
      <c r="P778" s="417"/>
      <c r="Q778" s="417"/>
      <c r="R778" s="417"/>
      <c r="S778" s="417"/>
      <c r="T778" s="417"/>
      <c r="U778" s="417"/>
      <c r="V778" s="417"/>
      <c r="W778" s="417"/>
      <c r="X778" s="417"/>
      <c r="Y778" s="417"/>
      <c r="Z778" s="417"/>
      <c r="AA778" s="417"/>
      <c r="AB778" s="417"/>
      <c r="AC778" s="417"/>
    </row>
    <row r="779" spans="2:29" x14ac:dyDescent="0.25">
      <c r="B779" s="417"/>
      <c r="C779" s="417"/>
      <c r="D779" s="417"/>
      <c r="E779" s="417"/>
      <c r="F779" s="417"/>
      <c r="G779" s="417"/>
      <c r="H779" s="417"/>
      <c r="I779" s="417"/>
      <c r="J779" s="417"/>
      <c r="K779" s="417"/>
      <c r="L779" s="417"/>
      <c r="M779" s="417"/>
      <c r="N779" s="417"/>
      <c r="O779" s="417"/>
      <c r="P779" s="417"/>
      <c r="Q779" s="417"/>
      <c r="R779" s="417"/>
      <c r="S779" s="417"/>
      <c r="T779" s="417"/>
      <c r="U779" s="417"/>
      <c r="V779" s="417"/>
      <c r="W779" s="417"/>
      <c r="X779" s="417"/>
      <c r="Y779" s="417"/>
      <c r="Z779" s="417"/>
      <c r="AA779" s="417"/>
      <c r="AB779" s="417"/>
      <c r="AC779" s="417"/>
    </row>
    <row r="780" spans="2:29" x14ac:dyDescent="0.25">
      <c r="B780" s="417"/>
      <c r="C780" s="417"/>
      <c r="D780" s="417"/>
      <c r="E780" s="417"/>
      <c r="F780" s="417"/>
      <c r="G780" s="417"/>
      <c r="H780" s="417"/>
      <c r="I780" s="417"/>
      <c r="J780" s="417"/>
      <c r="K780" s="417"/>
      <c r="L780" s="417"/>
      <c r="M780" s="417"/>
      <c r="N780" s="417"/>
      <c r="O780" s="417"/>
      <c r="P780" s="417"/>
      <c r="Q780" s="417"/>
      <c r="R780" s="417"/>
      <c r="S780" s="417"/>
      <c r="T780" s="417"/>
      <c r="U780" s="417"/>
      <c r="V780" s="417"/>
      <c r="W780" s="417"/>
      <c r="X780" s="417"/>
      <c r="Y780" s="417"/>
      <c r="Z780" s="417"/>
      <c r="AA780" s="417"/>
      <c r="AB780" s="417"/>
      <c r="AC780" s="417"/>
    </row>
    <row r="781" spans="2:29" x14ac:dyDescent="0.25">
      <c r="B781" s="417"/>
      <c r="C781" s="417"/>
      <c r="D781" s="417"/>
      <c r="E781" s="417"/>
      <c r="F781" s="417"/>
      <c r="G781" s="417"/>
      <c r="H781" s="417"/>
      <c r="I781" s="417"/>
      <c r="J781" s="417"/>
      <c r="K781" s="417"/>
      <c r="L781" s="417"/>
      <c r="M781" s="417"/>
      <c r="N781" s="417"/>
      <c r="O781" s="417"/>
      <c r="P781" s="417"/>
      <c r="Q781" s="417"/>
      <c r="R781" s="417"/>
      <c r="S781" s="417"/>
      <c r="T781" s="417"/>
      <c r="U781" s="417"/>
      <c r="V781" s="417"/>
      <c r="W781" s="417"/>
      <c r="X781" s="417"/>
      <c r="Y781" s="417"/>
      <c r="Z781" s="417"/>
      <c r="AA781" s="417"/>
      <c r="AB781" s="417"/>
      <c r="AC781" s="417"/>
    </row>
    <row r="782" spans="2:29" x14ac:dyDescent="0.25">
      <c r="B782" s="417"/>
      <c r="C782" s="417"/>
      <c r="D782" s="417"/>
      <c r="E782" s="417"/>
      <c r="F782" s="417"/>
      <c r="G782" s="417"/>
      <c r="H782" s="417"/>
      <c r="I782" s="417"/>
      <c r="J782" s="417"/>
      <c r="K782" s="417"/>
      <c r="L782" s="417"/>
      <c r="M782" s="417"/>
      <c r="N782" s="417"/>
      <c r="O782" s="417"/>
      <c r="P782" s="417"/>
      <c r="Q782" s="417"/>
      <c r="R782" s="417"/>
      <c r="S782" s="417"/>
      <c r="T782" s="417"/>
      <c r="U782" s="417"/>
      <c r="V782" s="417"/>
      <c r="W782" s="417"/>
      <c r="X782" s="417"/>
      <c r="Y782" s="417"/>
      <c r="Z782" s="417"/>
      <c r="AA782" s="417"/>
      <c r="AB782" s="417"/>
      <c r="AC782" s="417"/>
    </row>
    <row r="783" spans="2:29" x14ac:dyDescent="0.25">
      <c r="B783" s="417"/>
      <c r="C783" s="417"/>
      <c r="D783" s="417"/>
      <c r="E783" s="417"/>
      <c r="F783" s="417"/>
      <c r="G783" s="417"/>
      <c r="H783" s="417"/>
      <c r="I783" s="417"/>
      <c r="J783" s="417"/>
      <c r="K783" s="417"/>
      <c r="L783" s="417"/>
      <c r="M783" s="417"/>
      <c r="N783" s="417"/>
      <c r="O783" s="417"/>
      <c r="P783" s="417"/>
      <c r="Q783" s="417"/>
      <c r="R783" s="417"/>
      <c r="S783" s="417"/>
      <c r="T783" s="417"/>
      <c r="U783" s="417"/>
      <c r="V783" s="417"/>
      <c r="W783" s="417"/>
      <c r="X783" s="417"/>
      <c r="Y783" s="417"/>
      <c r="Z783" s="417"/>
      <c r="AA783" s="417"/>
      <c r="AB783" s="417"/>
      <c r="AC783" s="417"/>
    </row>
    <row r="784" spans="2:29" x14ac:dyDescent="0.25">
      <c r="B784" s="417"/>
      <c r="C784" s="417"/>
      <c r="D784" s="417"/>
      <c r="E784" s="417"/>
      <c r="F784" s="417"/>
      <c r="G784" s="417"/>
      <c r="H784" s="417"/>
      <c r="I784" s="417"/>
      <c r="J784" s="417"/>
      <c r="K784" s="417"/>
      <c r="L784" s="417"/>
      <c r="M784" s="417"/>
      <c r="N784" s="417"/>
      <c r="O784" s="417"/>
      <c r="P784" s="417"/>
      <c r="Q784" s="417"/>
      <c r="R784" s="417"/>
      <c r="S784" s="417"/>
      <c r="T784" s="417"/>
      <c r="U784" s="417"/>
      <c r="V784" s="417"/>
      <c r="W784" s="417"/>
      <c r="X784" s="417"/>
      <c r="Y784" s="417"/>
      <c r="Z784" s="417"/>
      <c r="AA784" s="417"/>
      <c r="AB784" s="417"/>
      <c r="AC784" s="417"/>
    </row>
    <row r="785" spans="2:29" x14ac:dyDescent="0.25">
      <c r="B785" s="417"/>
      <c r="C785" s="417"/>
      <c r="D785" s="417"/>
      <c r="E785" s="417"/>
      <c r="F785" s="417"/>
      <c r="G785" s="417"/>
      <c r="H785" s="417"/>
      <c r="I785" s="417"/>
      <c r="J785" s="417"/>
      <c r="K785" s="417"/>
      <c r="L785" s="417"/>
      <c r="M785" s="417"/>
      <c r="N785" s="417"/>
      <c r="O785" s="417"/>
      <c r="P785" s="417"/>
      <c r="Q785" s="417"/>
      <c r="R785" s="417"/>
      <c r="S785" s="417"/>
      <c r="T785" s="417"/>
      <c r="U785" s="417"/>
      <c r="V785" s="417"/>
      <c r="W785" s="417"/>
      <c r="X785" s="417"/>
      <c r="Y785" s="417"/>
      <c r="Z785" s="417"/>
      <c r="AA785" s="417"/>
      <c r="AB785" s="417"/>
      <c r="AC785" s="417"/>
    </row>
    <row r="786" spans="2:29" x14ac:dyDescent="0.25">
      <c r="B786" s="417"/>
      <c r="C786" s="417"/>
      <c r="D786" s="417"/>
      <c r="E786" s="417"/>
      <c r="F786" s="417"/>
      <c r="G786" s="417"/>
      <c r="H786" s="417"/>
      <c r="I786" s="417"/>
      <c r="J786" s="417"/>
      <c r="K786" s="417"/>
      <c r="L786" s="417"/>
      <c r="M786" s="417"/>
      <c r="N786" s="417"/>
      <c r="O786" s="417"/>
      <c r="P786" s="417"/>
      <c r="Q786" s="417"/>
      <c r="R786" s="417"/>
      <c r="S786" s="417"/>
      <c r="T786" s="417"/>
      <c r="U786" s="417"/>
      <c r="V786" s="417"/>
      <c r="W786" s="417"/>
      <c r="X786" s="417"/>
      <c r="Y786" s="417"/>
      <c r="Z786" s="417"/>
      <c r="AA786" s="417"/>
      <c r="AB786" s="417"/>
      <c r="AC786" s="417"/>
    </row>
    <row r="787" spans="2:29" x14ac:dyDescent="0.25">
      <c r="B787" s="417"/>
      <c r="C787" s="417"/>
      <c r="D787" s="417"/>
      <c r="E787" s="417"/>
      <c r="F787" s="417"/>
      <c r="G787" s="417"/>
      <c r="H787" s="417"/>
      <c r="I787" s="417"/>
      <c r="J787" s="417"/>
      <c r="K787" s="417"/>
      <c r="L787" s="417"/>
      <c r="M787" s="417"/>
      <c r="N787" s="417"/>
      <c r="O787" s="417"/>
      <c r="P787" s="417"/>
      <c r="Q787" s="417"/>
      <c r="R787" s="417"/>
      <c r="S787" s="417"/>
      <c r="T787" s="417"/>
      <c r="U787" s="417"/>
      <c r="V787" s="417"/>
      <c r="W787" s="417"/>
      <c r="X787" s="417"/>
      <c r="Y787" s="417"/>
      <c r="Z787" s="417"/>
      <c r="AA787" s="417"/>
      <c r="AB787" s="417"/>
      <c r="AC787" s="417"/>
    </row>
    <row r="788" spans="2:29" x14ac:dyDescent="0.25">
      <c r="B788" s="417"/>
      <c r="C788" s="417"/>
      <c r="D788" s="417"/>
      <c r="E788" s="417"/>
      <c r="F788" s="417"/>
      <c r="G788" s="417"/>
      <c r="H788" s="417"/>
      <c r="I788" s="417"/>
      <c r="J788" s="417"/>
      <c r="K788" s="417"/>
      <c r="L788" s="417"/>
      <c r="M788" s="417"/>
      <c r="N788" s="417"/>
      <c r="O788" s="417"/>
      <c r="P788" s="417"/>
      <c r="Q788" s="417"/>
      <c r="R788" s="417"/>
      <c r="S788" s="417"/>
      <c r="T788" s="417"/>
      <c r="U788" s="417"/>
      <c r="V788" s="417"/>
      <c r="W788" s="417"/>
      <c r="X788" s="417"/>
      <c r="Y788" s="417"/>
      <c r="Z788" s="417"/>
      <c r="AA788" s="417"/>
      <c r="AB788" s="417"/>
      <c r="AC788" s="417"/>
    </row>
    <row r="789" spans="2:29" x14ac:dyDescent="0.25">
      <c r="B789" s="417"/>
      <c r="C789" s="417"/>
      <c r="D789" s="417"/>
      <c r="E789" s="417"/>
      <c r="F789" s="417"/>
      <c r="G789" s="417"/>
      <c r="H789" s="417"/>
      <c r="I789" s="417"/>
      <c r="J789" s="417"/>
      <c r="K789" s="417"/>
      <c r="L789" s="417"/>
      <c r="M789" s="417"/>
      <c r="N789" s="417"/>
      <c r="O789" s="417"/>
      <c r="P789" s="417"/>
      <c r="Q789" s="417"/>
      <c r="R789" s="417"/>
      <c r="S789" s="417"/>
      <c r="T789" s="417"/>
      <c r="U789" s="417"/>
      <c r="V789" s="417"/>
      <c r="W789" s="417"/>
      <c r="X789" s="417"/>
      <c r="Y789" s="417"/>
      <c r="Z789" s="417"/>
      <c r="AA789" s="417"/>
      <c r="AB789" s="417"/>
      <c r="AC789" s="417"/>
    </row>
    <row r="790" spans="2:29" x14ac:dyDescent="0.25">
      <c r="B790" s="417"/>
      <c r="C790" s="417"/>
      <c r="D790" s="417"/>
      <c r="E790" s="417"/>
      <c r="F790" s="417"/>
      <c r="G790" s="417"/>
      <c r="H790" s="417"/>
      <c r="I790" s="417"/>
      <c r="J790" s="417"/>
      <c r="K790" s="417"/>
      <c r="L790" s="417"/>
      <c r="M790" s="417"/>
      <c r="N790" s="417"/>
      <c r="O790" s="417"/>
      <c r="P790" s="417"/>
      <c r="Q790" s="417"/>
      <c r="R790" s="417"/>
      <c r="S790" s="417"/>
      <c r="T790" s="417"/>
      <c r="U790" s="417"/>
      <c r="V790" s="417"/>
      <c r="W790" s="417"/>
      <c r="X790" s="417"/>
      <c r="Y790" s="417"/>
      <c r="Z790" s="417"/>
      <c r="AA790" s="417"/>
      <c r="AB790" s="417"/>
      <c r="AC790" s="417"/>
    </row>
    <row r="791" spans="2:29" x14ac:dyDescent="0.25">
      <c r="B791" s="417"/>
      <c r="C791" s="417"/>
      <c r="D791" s="417"/>
      <c r="E791" s="417"/>
      <c r="F791" s="417"/>
      <c r="G791" s="417"/>
      <c r="H791" s="417"/>
      <c r="I791" s="417"/>
      <c r="J791" s="417"/>
      <c r="K791" s="417"/>
      <c r="L791" s="417"/>
      <c r="M791" s="417"/>
      <c r="N791" s="417"/>
      <c r="O791" s="417"/>
      <c r="P791" s="417"/>
      <c r="Q791" s="417"/>
      <c r="R791" s="417"/>
      <c r="S791" s="417"/>
      <c r="T791" s="417"/>
      <c r="U791" s="417"/>
      <c r="V791" s="417"/>
      <c r="W791" s="417"/>
      <c r="X791" s="417"/>
      <c r="Y791" s="417"/>
      <c r="Z791" s="417"/>
      <c r="AA791" s="417"/>
      <c r="AB791" s="417"/>
      <c r="AC791" s="417"/>
    </row>
    <row r="792" spans="2:29" x14ac:dyDescent="0.25">
      <c r="B792" s="417"/>
      <c r="C792" s="417"/>
      <c r="D792" s="417"/>
      <c r="E792" s="417"/>
      <c r="F792" s="417"/>
      <c r="G792" s="417"/>
      <c r="H792" s="417"/>
      <c r="I792" s="417"/>
      <c r="J792" s="417"/>
      <c r="K792" s="417"/>
      <c r="L792" s="417"/>
      <c r="M792" s="417"/>
      <c r="N792" s="417"/>
      <c r="O792" s="417"/>
      <c r="P792" s="417"/>
      <c r="Q792" s="417"/>
      <c r="R792" s="417"/>
      <c r="S792" s="417"/>
      <c r="T792" s="417"/>
      <c r="U792" s="417"/>
      <c r="V792" s="417"/>
      <c r="W792" s="417"/>
      <c r="X792" s="417"/>
      <c r="Y792" s="417"/>
      <c r="Z792" s="417"/>
      <c r="AA792" s="417"/>
      <c r="AB792" s="417"/>
      <c r="AC792" s="417"/>
    </row>
    <row r="793" spans="2:29" x14ac:dyDescent="0.25">
      <c r="B793" s="417"/>
      <c r="C793" s="417"/>
      <c r="D793" s="417"/>
      <c r="E793" s="417"/>
      <c r="F793" s="417"/>
      <c r="G793" s="417"/>
      <c r="H793" s="417"/>
      <c r="I793" s="417"/>
      <c r="J793" s="417"/>
      <c r="K793" s="417"/>
      <c r="L793" s="417"/>
      <c r="M793" s="417"/>
      <c r="N793" s="417"/>
      <c r="O793" s="417"/>
      <c r="P793" s="417"/>
      <c r="Q793" s="417"/>
      <c r="R793" s="417"/>
      <c r="S793" s="417"/>
      <c r="T793" s="417"/>
      <c r="U793" s="417"/>
      <c r="V793" s="417"/>
      <c r="W793" s="417"/>
      <c r="X793" s="417"/>
      <c r="Y793" s="417"/>
      <c r="Z793" s="417"/>
      <c r="AA793" s="417"/>
      <c r="AB793" s="417"/>
      <c r="AC793" s="417"/>
    </row>
    <row r="794" spans="2:29" x14ac:dyDescent="0.25">
      <c r="B794" s="417"/>
      <c r="C794" s="417"/>
      <c r="D794" s="417"/>
      <c r="E794" s="417"/>
      <c r="F794" s="417"/>
      <c r="G794" s="417"/>
      <c r="H794" s="417"/>
      <c r="I794" s="417"/>
      <c r="J794" s="417"/>
      <c r="K794" s="417"/>
      <c r="L794" s="417"/>
      <c r="M794" s="417"/>
      <c r="N794" s="417"/>
      <c r="O794" s="417"/>
      <c r="P794" s="417"/>
      <c r="Q794" s="417"/>
      <c r="R794" s="417"/>
      <c r="S794" s="417"/>
      <c r="T794" s="417"/>
      <c r="U794" s="417"/>
      <c r="V794" s="417"/>
      <c r="W794" s="417"/>
      <c r="X794" s="417"/>
      <c r="Y794" s="417"/>
      <c r="Z794" s="417"/>
      <c r="AA794" s="417"/>
      <c r="AB794" s="417"/>
      <c r="AC794" s="417"/>
    </row>
    <row r="795" spans="2:29" x14ac:dyDescent="0.25">
      <c r="B795" s="417"/>
      <c r="C795" s="417"/>
      <c r="D795" s="417"/>
      <c r="E795" s="417"/>
      <c r="F795" s="417"/>
      <c r="G795" s="417"/>
      <c r="H795" s="417"/>
      <c r="I795" s="417"/>
      <c r="J795" s="417"/>
      <c r="K795" s="417"/>
      <c r="L795" s="417"/>
      <c r="M795" s="417"/>
      <c r="N795" s="417"/>
      <c r="O795" s="417"/>
      <c r="P795" s="417"/>
      <c r="Q795" s="417"/>
      <c r="R795" s="417"/>
      <c r="S795" s="417"/>
      <c r="T795" s="417"/>
      <c r="U795" s="417"/>
      <c r="V795" s="417"/>
      <c r="W795" s="417"/>
      <c r="X795" s="417"/>
      <c r="Y795" s="417"/>
      <c r="Z795" s="417"/>
      <c r="AA795" s="417"/>
      <c r="AB795" s="417"/>
      <c r="AC795" s="417"/>
    </row>
    <row r="796" spans="2:29" x14ac:dyDescent="0.25">
      <c r="B796" s="417"/>
      <c r="C796" s="417"/>
      <c r="D796" s="417"/>
      <c r="E796" s="417"/>
      <c r="F796" s="417"/>
      <c r="G796" s="417"/>
      <c r="H796" s="417"/>
      <c r="I796" s="417"/>
      <c r="J796" s="417"/>
      <c r="K796" s="417"/>
      <c r="L796" s="417"/>
      <c r="M796" s="417"/>
      <c r="N796" s="417"/>
      <c r="O796" s="417"/>
      <c r="P796" s="417"/>
      <c r="Q796" s="417"/>
      <c r="R796" s="417"/>
      <c r="S796" s="417"/>
      <c r="T796" s="417"/>
      <c r="U796" s="417"/>
      <c r="V796" s="417"/>
      <c r="W796" s="417"/>
      <c r="X796" s="417"/>
      <c r="Y796" s="417"/>
      <c r="Z796" s="417"/>
      <c r="AA796" s="417"/>
      <c r="AB796" s="417"/>
      <c r="AC796" s="417"/>
    </row>
    <row r="797" spans="2:29" x14ac:dyDescent="0.25">
      <c r="B797" s="417"/>
      <c r="C797" s="417"/>
      <c r="D797" s="417"/>
      <c r="E797" s="417"/>
      <c r="F797" s="417"/>
      <c r="G797" s="417"/>
      <c r="H797" s="417"/>
      <c r="I797" s="417"/>
      <c r="J797" s="417"/>
      <c r="K797" s="417"/>
      <c r="L797" s="417"/>
      <c r="M797" s="417"/>
      <c r="N797" s="417"/>
      <c r="O797" s="417"/>
      <c r="P797" s="417"/>
      <c r="Q797" s="417"/>
      <c r="R797" s="417"/>
      <c r="S797" s="417"/>
      <c r="T797" s="417"/>
      <c r="U797" s="417"/>
      <c r="V797" s="417"/>
      <c r="W797" s="417"/>
      <c r="X797" s="417"/>
      <c r="Y797" s="417"/>
      <c r="Z797" s="417"/>
      <c r="AA797" s="417"/>
      <c r="AB797" s="417"/>
      <c r="AC797" s="417"/>
    </row>
    <row r="798" spans="2:29" x14ac:dyDescent="0.25">
      <c r="B798" s="417"/>
      <c r="C798" s="417"/>
      <c r="D798" s="417"/>
      <c r="E798" s="417"/>
      <c r="F798" s="417"/>
      <c r="G798" s="417"/>
      <c r="H798" s="417"/>
      <c r="I798" s="417"/>
      <c r="J798" s="417"/>
      <c r="K798" s="417"/>
      <c r="L798" s="417"/>
      <c r="M798" s="417"/>
      <c r="N798" s="417"/>
      <c r="O798" s="417"/>
      <c r="P798" s="417"/>
      <c r="Q798" s="417"/>
      <c r="R798" s="417"/>
      <c r="S798" s="417"/>
      <c r="T798" s="417"/>
      <c r="U798" s="417"/>
      <c r="V798" s="417"/>
      <c r="W798" s="417"/>
      <c r="X798" s="417"/>
      <c r="Y798" s="417"/>
      <c r="Z798" s="417"/>
      <c r="AA798" s="417"/>
      <c r="AB798" s="417"/>
      <c r="AC798" s="417"/>
    </row>
    <row r="799" spans="2:29" x14ac:dyDescent="0.25">
      <c r="B799" s="417"/>
      <c r="C799" s="417"/>
      <c r="D799" s="417"/>
      <c r="E799" s="417"/>
      <c r="F799" s="417"/>
      <c r="G799" s="417"/>
      <c r="H799" s="417"/>
      <c r="I799" s="417"/>
      <c r="J799" s="417"/>
      <c r="K799" s="417"/>
      <c r="L799" s="417"/>
      <c r="M799" s="417"/>
      <c r="N799" s="417"/>
      <c r="O799" s="417"/>
      <c r="P799" s="417"/>
      <c r="Q799" s="417"/>
      <c r="R799" s="417"/>
      <c r="S799" s="417"/>
      <c r="T799" s="417"/>
      <c r="U799" s="417"/>
      <c r="V799" s="417"/>
      <c r="W799" s="417"/>
      <c r="X799" s="417"/>
      <c r="Y799" s="417"/>
      <c r="Z799" s="417"/>
      <c r="AA799" s="417"/>
      <c r="AB799" s="417"/>
      <c r="AC799" s="417"/>
    </row>
    <row r="800" spans="2:29" x14ac:dyDescent="0.25">
      <c r="B800" s="417"/>
      <c r="C800" s="417"/>
      <c r="D800" s="417"/>
      <c r="E800" s="417"/>
      <c r="F800" s="417"/>
      <c r="G800" s="417"/>
      <c r="H800" s="417"/>
      <c r="I800" s="417"/>
      <c r="J800" s="417"/>
      <c r="K800" s="417"/>
      <c r="L800" s="417"/>
      <c r="M800" s="417"/>
      <c r="N800" s="417"/>
      <c r="O800" s="417"/>
      <c r="P800" s="417"/>
      <c r="Q800" s="417"/>
      <c r="R800" s="417"/>
      <c r="S800" s="417"/>
      <c r="T800" s="417"/>
      <c r="U800" s="417"/>
      <c r="V800" s="417"/>
      <c r="W800" s="417"/>
      <c r="X800" s="417"/>
      <c r="Y800" s="417"/>
      <c r="Z800" s="417"/>
      <c r="AA800" s="417"/>
      <c r="AB800" s="417"/>
      <c r="AC800" s="417"/>
    </row>
    <row r="801" spans="2:29" x14ac:dyDescent="0.25">
      <c r="B801" s="417"/>
      <c r="C801" s="417"/>
      <c r="D801" s="417"/>
      <c r="E801" s="417"/>
      <c r="F801" s="417"/>
      <c r="G801" s="417"/>
      <c r="H801" s="417"/>
      <c r="I801" s="417"/>
      <c r="J801" s="417"/>
      <c r="K801" s="417"/>
      <c r="L801" s="417"/>
      <c r="M801" s="417"/>
      <c r="N801" s="417"/>
      <c r="O801" s="417"/>
      <c r="P801" s="417"/>
      <c r="Q801" s="417"/>
      <c r="R801" s="417"/>
      <c r="S801" s="417"/>
      <c r="T801" s="417"/>
      <c r="U801" s="417"/>
      <c r="V801" s="417"/>
      <c r="W801" s="417"/>
      <c r="X801" s="417"/>
      <c r="Y801" s="417"/>
      <c r="Z801" s="417"/>
      <c r="AA801" s="417"/>
      <c r="AB801" s="417"/>
      <c r="AC801" s="417"/>
    </row>
    <row r="802" spans="2:29" x14ac:dyDescent="0.25">
      <c r="B802" s="417"/>
      <c r="C802" s="417"/>
      <c r="D802" s="417"/>
      <c r="E802" s="417"/>
      <c r="F802" s="417"/>
      <c r="G802" s="417"/>
      <c r="H802" s="417"/>
      <c r="I802" s="417"/>
      <c r="J802" s="417"/>
      <c r="K802" s="417"/>
      <c r="L802" s="417"/>
      <c r="M802" s="417"/>
      <c r="N802" s="417"/>
      <c r="O802" s="417"/>
      <c r="P802" s="417"/>
      <c r="Q802" s="417"/>
      <c r="R802" s="417"/>
      <c r="S802" s="417"/>
      <c r="T802" s="417"/>
      <c r="U802" s="417"/>
      <c r="V802" s="417"/>
      <c r="W802" s="417"/>
      <c r="X802" s="417"/>
      <c r="Y802" s="417"/>
      <c r="Z802" s="417"/>
      <c r="AA802" s="417"/>
      <c r="AB802" s="417"/>
      <c r="AC802" s="417"/>
    </row>
    <row r="803" spans="2:29" x14ac:dyDescent="0.25">
      <c r="B803" s="417"/>
      <c r="C803" s="417"/>
      <c r="D803" s="417"/>
      <c r="E803" s="417"/>
      <c r="F803" s="417"/>
      <c r="G803" s="417"/>
      <c r="H803" s="417"/>
      <c r="I803" s="417"/>
      <c r="J803" s="417"/>
      <c r="K803" s="417"/>
      <c r="L803" s="417"/>
      <c r="M803" s="417"/>
      <c r="N803" s="417"/>
      <c r="O803" s="417"/>
      <c r="P803" s="417"/>
      <c r="Q803" s="417"/>
      <c r="R803" s="417"/>
      <c r="S803" s="417"/>
      <c r="T803" s="417"/>
      <c r="U803" s="417"/>
      <c r="V803" s="417"/>
      <c r="W803" s="417"/>
      <c r="X803" s="417"/>
      <c r="Y803" s="417"/>
      <c r="Z803" s="417"/>
      <c r="AA803" s="417"/>
      <c r="AB803" s="417"/>
      <c r="AC803" s="417"/>
    </row>
    <row r="804" spans="2:29" x14ac:dyDescent="0.25">
      <c r="B804" s="417"/>
      <c r="C804" s="417"/>
      <c r="D804" s="417"/>
      <c r="E804" s="417"/>
      <c r="F804" s="417"/>
      <c r="G804" s="417"/>
      <c r="H804" s="417"/>
      <c r="I804" s="417"/>
      <c r="J804" s="417"/>
      <c r="K804" s="417"/>
      <c r="L804" s="417"/>
      <c r="M804" s="417"/>
      <c r="N804" s="417"/>
      <c r="O804" s="417"/>
      <c r="P804" s="417"/>
      <c r="Q804" s="417"/>
      <c r="R804" s="417"/>
      <c r="S804" s="417"/>
      <c r="T804" s="417"/>
      <c r="U804" s="417"/>
      <c r="V804" s="417"/>
      <c r="W804" s="417"/>
      <c r="X804" s="417"/>
      <c r="Y804" s="417"/>
      <c r="Z804" s="417"/>
      <c r="AA804" s="417"/>
      <c r="AB804" s="417"/>
      <c r="AC804" s="417"/>
    </row>
    <row r="805" spans="2:29" x14ac:dyDescent="0.25">
      <c r="B805" s="417"/>
      <c r="C805" s="417"/>
      <c r="D805" s="417"/>
      <c r="E805" s="417"/>
      <c r="F805" s="417"/>
      <c r="G805" s="417"/>
      <c r="H805" s="417"/>
      <c r="I805" s="417"/>
      <c r="J805" s="417"/>
      <c r="K805" s="417"/>
      <c r="L805" s="417"/>
      <c r="M805" s="417"/>
      <c r="N805" s="417"/>
      <c r="O805" s="417"/>
      <c r="P805" s="417"/>
      <c r="Q805" s="417"/>
      <c r="R805" s="417"/>
      <c r="S805" s="417"/>
      <c r="T805" s="417"/>
      <c r="U805" s="417"/>
      <c r="V805" s="417"/>
      <c r="W805" s="417"/>
      <c r="X805" s="417"/>
      <c r="Y805" s="417"/>
      <c r="Z805" s="417"/>
      <c r="AA805" s="417"/>
      <c r="AB805" s="417"/>
      <c r="AC805" s="417"/>
    </row>
    <row r="806" spans="2:29" x14ac:dyDescent="0.25">
      <c r="B806" s="417"/>
      <c r="C806" s="417"/>
      <c r="D806" s="417"/>
      <c r="E806" s="417"/>
      <c r="F806" s="417"/>
      <c r="G806" s="417"/>
      <c r="H806" s="417"/>
      <c r="I806" s="417"/>
      <c r="J806" s="417"/>
      <c r="K806" s="417"/>
      <c r="L806" s="417"/>
      <c r="M806" s="417"/>
      <c r="N806" s="417"/>
      <c r="O806" s="417"/>
      <c r="P806" s="417"/>
      <c r="Q806" s="417"/>
      <c r="R806" s="417"/>
      <c r="S806" s="417"/>
      <c r="T806" s="417"/>
      <c r="U806" s="417"/>
      <c r="V806" s="417"/>
      <c r="W806" s="417"/>
      <c r="X806" s="417"/>
      <c r="Y806" s="417"/>
      <c r="Z806" s="417"/>
      <c r="AA806" s="417"/>
      <c r="AB806" s="417"/>
      <c r="AC806" s="417"/>
    </row>
    <row r="807" spans="2:29" x14ac:dyDescent="0.25">
      <c r="B807" s="417"/>
      <c r="C807" s="417"/>
      <c r="D807" s="417"/>
      <c r="E807" s="417"/>
      <c r="F807" s="417"/>
      <c r="G807" s="417"/>
      <c r="H807" s="417"/>
      <c r="I807" s="417"/>
      <c r="J807" s="417"/>
      <c r="K807" s="417"/>
      <c r="L807" s="417"/>
      <c r="M807" s="417"/>
      <c r="N807" s="417"/>
      <c r="O807" s="417"/>
      <c r="P807" s="417"/>
      <c r="Q807" s="417"/>
      <c r="R807" s="417"/>
      <c r="S807" s="417"/>
      <c r="T807" s="417"/>
      <c r="U807" s="417"/>
      <c r="V807" s="417"/>
      <c r="W807" s="417"/>
      <c r="X807" s="417"/>
      <c r="Y807" s="417"/>
      <c r="Z807" s="417"/>
      <c r="AA807" s="417"/>
      <c r="AB807" s="417"/>
      <c r="AC807" s="417"/>
    </row>
    <row r="808" spans="2:29" x14ac:dyDescent="0.25">
      <c r="B808" s="417"/>
      <c r="C808" s="417"/>
      <c r="D808" s="417"/>
      <c r="E808" s="417"/>
      <c r="F808" s="417"/>
      <c r="G808" s="417"/>
      <c r="H808" s="417"/>
      <c r="I808" s="417"/>
      <c r="J808" s="417"/>
      <c r="K808" s="417"/>
      <c r="L808" s="417"/>
      <c r="M808" s="417"/>
      <c r="N808" s="417"/>
      <c r="O808" s="417"/>
      <c r="P808" s="417"/>
      <c r="Q808" s="417"/>
      <c r="R808" s="417"/>
      <c r="S808" s="417"/>
      <c r="T808" s="417"/>
      <c r="U808" s="417"/>
      <c r="V808" s="417"/>
      <c r="W808" s="417"/>
      <c r="X808" s="417"/>
      <c r="Y808" s="417"/>
      <c r="Z808" s="417"/>
      <c r="AA808" s="417"/>
      <c r="AB808" s="417"/>
      <c r="AC808" s="417"/>
    </row>
    <row r="809" spans="2:29" x14ac:dyDescent="0.25">
      <c r="B809" s="417"/>
      <c r="C809" s="417"/>
      <c r="D809" s="417"/>
      <c r="E809" s="417"/>
      <c r="F809" s="417"/>
      <c r="G809" s="417"/>
      <c r="H809" s="417"/>
      <c r="I809" s="417"/>
      <c r="J809" s="417"/>
      <c r="K809" s="417"/>
      <c r="L809" s="417"/>
      <c r="M809" s="417"/>
      <c r="N809" s="417"/>
      <c r="O809" s="417"/>
      <c r="P809" s="417"/>
      <c r="Q809" s="417"/>
      <c r="R809" s="417"/>
      <c r="S809" s="417"/>
      <c r="T809" s="417"/>
      <c r="U809" s="417"/>
      <c r="V809" s="417"/>
      <c r="W809" s="417"/>
      <c r="X809" s="417"/>
      <c r="Y809" s="417"/>
      <c r="Z809" s="417"/>
      <c r="AA809" s="417"/>
      <c r="AB809" s="417"/>
      <c r="AC809" s="417"/>
    </row>
    <row r="810" spans="2:29" x14ac:dyDescent="0.25">
      <c r="B810" s="417"/>
      <c r="C810" s="417"/>
      <c r="D810" s="417"/>
      <c r="E810" s="417"/>
      <c r="F810" s="417"/>
      <c r="G810" s="417"/>
      <c r="H810" s="417"/>
      <c r="I810" s="417"/>
      <c r="J810" s="417"/>
      <c r="K810" s="417"/>
      <c r="L810" s="417"/>
      <c r="M810" s="417"/>
      <c r="N810" s="417"/>
      <c r="O810" s="417"/>
      <c r="P810" s="417"/>
      <c r="Q810" s="417"/>
      <c r="R810" s="417"/>
      <c r="S810" s="417"/>
      <c r="T810" s="417"/>
      <c r="U810" s="417"/>
      <c r="V810" s="417"/>
      <c r="W810" s="417"/>
      <c r="X810" s="417"/>
      <c r="Y810" s="417"/>
      <c r="Z810" s="417"/>
      <c r="AA810" s="417"/>
      <c r="AB810" s="417"/>
      <c r="AC810" s="417"/>
    </row>
    <row r="811" spans="2:29" x14ac:dyDescent="0.25">
      <c r="B811" s="417"/>
      <c r="C811" s="417"/>
      <c r="D811" s="417"/>
      <c r="E811" s="417"/>
      <c r="F811" s="417"/>
      <c r="G811" s="417"/>
      <c r="H811" s="417"/>
      <c r="I811" s="417"/>
      <c r="J811" s="417"/>
      <c r="K811" s="417"/>
      <c r="L811" s="417"/>
      <c r="M811" s="417"/>
      <c r="N811" s="417"/>
      <c r="O811" s="417"/>
      <c r="P811" s="417"/>
      <c r="Q811" s="417"/>
      <c r="R811" s="417"/>
      <c r="S811" s="417"/>
      <c r="T811" s="417"/>
      <c r="U811" s="417"/>
      <c r="V811" s="417"/>
      <c r="W811" s="417"/>
      <c r="X811" s="417"/>
      <c r="Y811" s="417"/>
      <c r="Z811" s="417"/>
      <c r="AA811" s="417"/>
      <c r="AB811" s="417"/>
      <c r="AC811" s="417"/>
    </row>
    <row r="812" spans="2:29" x14ac:dyDescent="0.25">
      <c r="B812" s="417"/>
      <c r="C812" s="417"/>
      <c r="D812" s="417"/>
      <c r="E812" s="417"/>
      <c r="F812" s="417"/>
      <c r="G812" s="417"/>
      <c r="H812" s="417"/>
      <c r="I812" s="417"/>
      <c r="J812" s="417"/>
      <c r="K812" s="417"/>
      <c r="L812" s="417"/>
      <c r="M812" s="417"/>
      <c r="N812" s="417"/>
      <c r="O812" s="417"/>
      <c r="P812" s="417"/>
      <c r="Q812" s="417"/>
      <c r="R812" s="417"/>
      <c r="S812" s="417"/>
      <c r="T812" s="417"/>
      <c r="U812" s="417"/>
      <c r="V812" s="417"/>
      <c r="W812" s="417"/>
      <c r="X812" s="417"/>
      <c r="Y812" s="417"/>
      <c r="Z812" s="417"/>
      <c r="AA812" s="417"/>
      <c r="AB812" s="417"/>
      <c r="AC812" s="417"/>
    </row>
    <row r="813" spans="2:29" x14ac:dyDescent="0.25">
      <c r="B813" s="417"/>
      <c r="C813" s="417"/>
      <c r="D813" s="417"/>
      <c r="E813" s="417"/>
      <c r="F813" s="417"/>
      <c r="G813" s="417"/>
      <c r="H813" s="417"/>
      <c r="I813" s="417"/>
      <c r="J813" s="417"/>
      <c r="K813" s="417"/>
      <c r="L813" s="417"/>
      <c r="M813" s="417"/>
      <c r="N813" s="417"/>
      <c r="O813" s="417"/>
      <c r="P813" s="417"/>
      <c r="Q813" s="417"/>
      <c r="R813" s="417"/>
      <c r="S813" s="417"/>
      <c r="T813" s="417"/>
      <c r="U813" s="417"/>
      <c r="V813" s="417"/>
      <c r="W813" s="417"/>
      <c r="X813" s="417"/>
      <c r="Y813" s="417"/>
      <c r="Z813" s="417"/>
      <c r="AA813" s="417"/>
      <c r="AB813" s="417"/>
      <c r="AC813" s="417"/>
    </row>
    <row r="814" spans="2:29" x14ac:dyDescent="0.25">
      <c r="B814" s="417"/>
      <c r="C814" s="417"/>
      <c r="D814" s="417"/>
      <c r="E814" s="417"/>
      <c r="F814" s="417"/>
      <c r="G814" s="417"/>
      <c r="H814" s="417"/>
      <c r="I814" s="417"/>
      <c r="J814" s="417"/>
      <c r="K814" s="417"/>
      <c r="L814" s="417"/>
      <c r="M814" s="417"/>
      <c r="N814" s="417"/>
      <c r="O814" s="417"/>
      <c r="P814" s="417"/>
      <c r="Q814" s="417"/>
      <c r="R814" s="417"/>
      <c r="S814" s="417"/>
      <c r="T814" s="417"/>
      <c r="U814" s="417"/>
      <c r="V814" s="417"/>
      <c r="W814" s="417"/>
      <c r="X814" s="417"/>
      <c r="Y814" s="417"/>
      <c r="Z814" s="417"/>
      <c r="AA814" s="417"/>
      <c r="AB814" s="417"/>
      <c r="AC814" s="417"/>
    </row>
    <row r="815" spans="2:29" x14ac:dyDescent="0.25">
      <c r="B815" s="417"/>
      <c r="C815" s="417"/>
      <c r="D815" s="417"/>
      <c r="E815" s="417"/>
      <c r="F815" s="417"/>
      <c r="G815" s="417"/>
      <c r="H815" s="417"/>
      <c r="I815" s="417"/>
      <c r="J815" s="417"/>
      <c r="K815" s="417"/>
      <c r="L815" s="417"/>
      <c r="M815" s="417"/>
      <c r="N815" s="417"/>
      <c r="O815" s="417"/>
      <c r="P815" s="417"/>
      <c r="Q815" s="417"/>
      <c r="R815" s="417"/>
      <c r="S815" s="417"/>
      <c r="T815" s="417"/>
      <c r="U815" s="417"/>
      <c r="V815" s="417"/>
      <c r="W815" s="417"/>
      <c r="X815" s="417"/>
      <c r="Y815" s="417"/>
      <c r="Z815" s="417"/>
      <c r="AA815" s="417"/>
      <c r="AB815" s="417"/>
      <c r="AC815" s="417"/>
    </row>
    <row r="816" spans="2:29" x14ac:dyDescent="0.25">
      <c r="B816" s="417"/>
      <c r="C816" s="417"/>
      <c r="D816" s="417"/>
      <c r="E816" s="417"/>
      <c r="F816" s="417"/>
      <c r="G816" s="417"/>
      <c r="H816" s="417"/>
      <c r="I816" s="417"/>
      <c r="J816" s="417"/>
      <c r="K816" s="417"/>
      <c r="L816" s="417"/>
      <c r="M816" s="417"/>
      <c r="N816" s="417"/>
      <c r="O816" s="417"/>
      <c r="P816" s="417"/>
      <c r="Q816" s="417"/>
      <c r="R816" s="417"/>
      <c r="S816" s="417"/>
      <c r="T816" s="417"/>
      <c r="U816" s="417"/>
      <c r="V816" s="417"/>
      <c r="W816" s="417"/>
      <c r="X816" s="417"/>
      <c r="Y816" s="417"/>
      <c r="Z816" s="417"/>
      <c r="AA816" s="417"/>
      <c r="AB816" s="417"/>
      <c r="AC816" s="417"/>
    </row>
    <row r="817" spans="2:29" x14ac:dyDescent="0.25">
      <c r="B817" s="417"/>
      <c r="C817" s="417"/>
      <c r="D817" s="417"/>
      <c r="E817" s="417"/>
      <c r="F817" s="417"/>
      <c r="G817" s="417"/>
      <c r="H817" s="417"/>
      <c r="I817" s="417"/>
      <c r="J817" s="417"/>
      <c r="K817" s="417"/>
      <c r="L817" s="417"/>
      <c r="M817" s="417"/>
      <c r="N817" s="417"/>
      <c r="O817" s="417"/>
      <c r="P817" s="417"/>
      <c r="Q817" s="417"/>
      <c r="R817" s="417"/>
      <c r="S817" s="417"/>
      <c r="T817" s="417"/>
      <c r="U817" s="417"/>
      <c r="V817" s="417"/>
      <c r="W817" s="417"/>
      <c r="X817" s="417"/>
      <c r="Y817" s="417"/>
      <c r="Z817" s="417"/>
      <c r="AA817" s="417"/>
      <c r="AB817" s="417"/>
      <c r="AC817" s="417"/>
    </row>
    <row r="818" spans="2:29" x14ac:dyDescent="0.25">
      <c r="B818" s="417"/>
      <c r="C818" s="417"/>
      <c r="D818" s="417"/>
      <c r="E818" s="417"/>
      <c r="F818" s="417"/>
      <c r="G818" s="417"/>
      <c r="H818" s="417"/>
      <c r="I818" s="417"/>
      <c r="J818" s="417"/>
      <c r="K818" s="417"/>
      <c r="L818" s="417"/>
      <c r="M818" s="417"/>
      <c r="N818" s="417"/>
      <c r="O818" s="417"/>
      <c r="P818" s="417"/>
      <c r="Q818" s="417"/>
      <c r="R818" s="417"/>
      <c r="S818" s="417"/>
      <c r="T818" s="417"/>
      <c r="U818" s="417"/>
      <c r="V818" s="417"/>
      <c r="W818" s="417"/>
      <c r="X818" s="417"/>
      <c r="Y818" s="417"/>
      <c r="Z818" s="417"/>
      <c r="AA818" s="417"/>
      <c r="AB818" s="417"/>
      <c r="AC818" s="417"/>
    </row>
    <row r="819" spans="2:29" x14ac:dyDescent="0.25">
      <c r="B819" s="417"/>
      <c r="C819" s="417"/>
      <c r="D819" s="417"/>
      <c r="E819" s="417"/>
      <c r="F819" s="417"/>
      <c r="G819" s="417"/>
      <c r="H819" s="417"/>
      <c r="I819" s="417"/>
      <c r="J819" s="417"/>
      <c r="K819" s="417"/>
      <c r="L819" s="417"/>
      <c r="M819" s="417"/>
      <c r="N819" s="417"/>
      <c r="O819" s="417"/>
      <c r="P819" s="417"/>
      <c r="Q819" s="417"/>
      <c r="R819" s="417"/>
      <c r="S819" s="417"/>
      <c r="T819" s="417"/>
      <c r="U819" s="417"/>
      <c r="V819" s="417"/>
      <c r="W819" s="417"/>
      <c r="X819" s="417"/>
      <c r="Y819" s="417"/>
      <c r="Z819" s="417"/>
      <c r="AA819" s="417"/>
      <c r="AB819" s="417"/>
      <c r="AC819" s="417"/>
    </row>
    <row r="820" spans="2:29" x14ac:dyDescent="0.25">
      <c r="B820" s="417"/>
      <c r="C820" s="417"/>
      <c r="D820" s="417"/>
      <c r="E820" s="417"/>
      <c r="F820" s="417"/>
      <c r="G820" s="417"/>
      <c r="H820" s="417"/>
      <c r="I820" s="417"/>
      <c r="J820" s="417"/>
      <c r="K820" s="417"/>
      <c r="L820" s="417"/>
      <c r="M820" s="417"/>
      <c r="N820" s="417"/>
      <c r="O820" s="417"/>
      <c r="P820" s="417"/>
      <c r="Q820" s="417"/>
      <c r="R820" s="417"/>
      <c r="S820" s="417"/>
      <c r="T820" s="417"/>
      <c r="U820" s="417"/>
      <c r="V820" s="417"/>
      <c r="W820" s="417"/>
      <c r="X820" s="417"/>
      <c r="Y820" s="417"/>
      <c r="Z820" s="417"/>
      <c r="AA820" s="417"/>
      <c r="AB820" s="417"/>
      <c r="AC820" s="417"/>
    </row>
    <row r="821" spans="2:29" x14ac:dyDescent="0.25">
      <c r="B821" s="417"/>
      <c r="C821" s="417"/>
      <c r="D821" s="417"/>
      <c r="E821" s="417"/>
      <c r="F821" s="417"/>
      <c r="G821" s="417"/>
      <c r="H821" s="417"/>
      <c r="I821" s="417"/>
      <c r="J821" s="417"/>
      <c r="K821" s="417"/>
      <c r="L821" s="417"/>
      <c r="M821" s="417"/>
      <c r="N821" s="417"/>
      <c r="O821" s="417"/>
      <c r="P821" s="417"/>
      <c r="Q821" s="417"/>
      <c r="R821" s="417"/>
      <c r="S821" s="417"/>
      <c r="T821" s="417"/>
      <c r="U821" s="417"/>
      <c r="V821" s="417"/>
      <c r="W821" s="417"/>
      <c r="X821" s="417"/>
      <c r="Y821" s="417"/>
      <c r="Z821" s="417"/>
      <c r="AA821" s="417"/>
      <c r="AB821" s="417"/>
      <c r="AC821" s="417"/>
    </row>
    <row r="822" spans="2:29" x14ac:dyDescent="0.25">
      <c r="B822" s="417"/>
      <c r="C822" s="417"/>
      <c r="D822" s="417"/>
      <c r="E822" s="417"/>
      <c r="F822" s="417"/>
      <c r="G822" s="417"/>
      <c r="H822" s="417"/>
      <c r="I822" s="417"/>
      <c r="J822" s="417"/>
      <c r="K822" s="417"/>
      <c r="L822" s="417"/>
      <c r="M822" s="417"/>
      <c r="N822" s="417"/>
      <c r="O822" s="417"/>
      <c r="P822" s="417"/>
      <c r="Q822" s="417"/>
      <c r="R822" s="417"/>
      <c r="S822" s="417"/>
      <c r="T822" s="417"/>
      <c r="U822" s="417"/>
      <c r="V822" s="417"/>
      <c r="W822" s="417"/>
      <c r="X822" s="417"/>
      <c r="Y822" s="417"/>
      <c r="Z822" s="417"/>
      <c r="AA822" s="417"/>
      <c r="AB822" s="417"/>
      <c r="AC822" s="417"/>
    </row>
    <row r="823" spans="2:29" x14ac:dyDescent="0.25">
      <c r="B823" s="417"/>
      <c r="C823" s="417"/>
      <c r="D823" s="417"/>
      <c r="E823" s="417"/>
      <c r="F823" s="417"/>
      <c r="G823" s="417"/>
      <c r="H823" s="417"/>
      <c r="I823" s="417"/>
      <c r="J823" s="417"/>
      <c r="K823" s="417"/>
      <c r="L823" s="417"/>
      <c r="M823" s="417"/>
      <c r="N823" s="417"/>
      <c r="O823" s="417"/>
      <c r="P823" s="417"/>
      <c r="Q823" s="417"/>
      <c r="R823" s="417"/>
      <c r="S823" s="417"/>
      <c r="T823" s="417"/>
      <c r="U823" s="417"/>
      <c r="V823" s="417"/>
      <c r="W823" s="417"/>
      <c r="X823" s="417"/>
      <c r="Y823" s="417"/>
      <c r="Z823" s="417"/>
      <c r="AA823" s="417"/>
      <c r="AB823" s="417"/>
      <c r="AC823" s="417"/>
    </row>
    <row r="824" spans="2:29" x14ac:dyDescent="0.25">
      <c r="B824" s="417"/>
      <c r="C824" s="417"/>
      <c r="D824" s="417"/>
      <c r="E824" s="417"/>
      <c r="F824" s="417"/>
      <c r="G824" s="417"/>
      <c r="H824" s="417"/>
      <c r="I824" s="417"/>
      <c r="J824" s="417"/>
      <c r="K824" s="417"/>
      <c r="L824" s="417"/>
      <c r="M824" s="417"/>
      <c r="N824" s="417"/>
      <c r="O824" s="417"/>
      <c r="P824" s="417"/>
      <c r="Q824" s="417"/>
      <c r="R824" s="417"/>
      <c r="S824" s="417"/>
      <c r="T824" s="417"/>
      <c r="U824" s="417"/>
      <c r="V824" s="417"/>
      <c r="W824" s="417"/>
      <c r="X824" s="417"/>
      <c r="Y824" s="417"/>
      <c r="Z824" s="417"/>
      <c r="AA824" s="417"/>
      <c r="AB824" s="417"/>
      <c r="AC824" s="417"/>
    </row>
    <row r="825" spans="2:29" x14ac:dyDescent="0.25">
      <c r="B825" s="417"/>
      <c r="C825" s="417"/>
      <c r="D825" s="417"/>
      <c r="E825" s="417"/>
      <c r="F825" s="417"/>
      <c r="G825" s="417"/>
      <c r="H825" s="417"/>
      <c r="I825" s="417"/>
      <c r="J825" s="417"/>
      <c r="K825" s="417"/>
      <c r="L825" s="417"/>
      <c r="M825" s="417"/>
      <c r="N825" s="417"/>
      <c r="O825" s="417"/>
      <c r="P825" s="417"/>
      <c r="Q825" s="417"/>
      <c r="R825" s="417"/>
      <c r="S825" s="417"/>
      <c r="T825" s="417"/>
      <c r="U825" s="417"/>
      <c r="V825" s="417"/>
      <c r="W825" s="417"/>
      <c r="X825" s="417"/>
      <c r="Y825" s="417"/>
      <c r="Z825" s="417"/>
      <c r="AA825" s="417"/>
      <c r="AB825" s="417"/>
      <c r="AC825" s="417"/>
    </row>
    <row r="826" spans="2:29" x14ac:dyDescent="0.25">
      <c r="B826" s="417"/>
      <c r="C826" s="417"/>
      <c r="D826" s="417"/>
      <c r="E826" s="417"/>
      <c r="F826" s="417"/>
      <c r="G826" s="417"/>
      <c r="H826" s="417"/>
      <c r="I826" s="417"/>
      <c r="J826" s="417"/>
      <c r="K826" s="417"/>
      <c r="L826" s="417"/>
      <c r="M826" s="417"/>
      <c r="N826" s="417"/>
      <c r="O826" s="417"/>
      <c r="P826" s="417"/>
      <c r="Q826" s="417"/>
      <c r="R826" s="417"/>
      <c r="S826" s="417"/>
      <c r="T826" s="417"/>
      <c r="U826" s="417"/>
      <c r="V826" s="417"/>
      <c r="W826" s="417"/>
      <c r="X826" s="417"/>
      <c r="Y826" s="417"/>
      <c r="Z826" s="417"/>
      <c r="AA826" s="417"/>
      <c r="AB826" s="417"/>
      <c r="AC826" s="417"/>
    </row>
    <row r="827" spans="2:29" x14ac:dyDescent="0.25">
      <c r="B827" s="417"/>
      <c r="C827" s="417"/>
      <c r="D827" s="417"/>
      <c r="E827" s="417"/>
      <c r="F827" s="417"/>
      <c r="G827" s="417"/>
      <c r="H827" s="417"/>
      <c r="I827" s="417"/>
      <c r="J827" s="417"/>
      <c r="K827" s="417"/>
      <c r="L827" s="417"/>
      <c r="M827" s="417"/>
      <c r="N827" s="417"/>
      <c r="O827" s="417"/>
      <c r="P827" s="417"/>
      <c r="Q827" s="417"/>
      <c r="R827" s="417"/>
      <c r="S827" s="417"/>
      <c r="T827" s="417"/>
      <c r="U827" s="417"/>
      <c r="V827" s="417"/>
      <c r="W827" s="417"/>
      <c r="X827" s="417"/>
      <c r="Y827" s="417"/>
      <c r="Z827" s="417"/>
      <c r="AA827" s="417"/>
      <c r="AB827" s="417"/>
      <c r="AC827" s="417"/>
    </row>
    <row r="828" spans="2:29" x14ac:dyDescent="0.25">
      <c r="B828" s="417"/>
      <c r="C828" s="417"/>
      <c r="D828" s="417"/>
      <c r="E828" s="417"/>
      <c r="F828" s="417"/>
      <c r="G828" s="417"/>
      <c r="H828" s="417"/>
      <c r="I828" s="417"/>
      <c r="J828" s="417"/>
      <c r="K828" s="417"/>
      <c r="L828" s="417"/>
      <c r="M828" s="417"/>
      <c r="N828" s="417"/>
      <c r="O828" s="417"/>
      <c r="P828" s="417"/>
      <c r="Q828" s="417"/>
      <c r="R828" s="417"/>
      <c r="S828" s="417"/>
      <c r="T828" s="417"/>
      <c r="U828" s="417"/>
      <c r="V828" s="417"/>
      <c r="W828" s="417"/>
      <c r="X828" s="417"/>
      <c r="Y828" s="417"/>
      <c r="Z828" s="417"/>
      <c r="AA828" s="417"/>
      <c r="AB828" s="417"/>
      <c r="AC828" s="417"/>
    </row>
    <row r="829" spans="2:29" x14ac:dyDescent="0.25">
      <c r="B829" s="417"/>
      <c r="C829" s="417"/>
      <c r="D829" s="417"/>
      <c r="E829" s="417"/>
      <c r="F829" s="417"/>
      <c r="G829" s="417"/>
      <c r="H829" s="417"/>
      <c r="I829" s="417"/>
      <c r="J829" s="417"/>
      <c r="K829" s="417"/>
      <c r="L829" s="417"/>
      <c r="M829" s="417"/>
      <c r="N829" s="417"/>
      <c r="O829" s="417"/>
      <c r="P829" s="417"/>
      <c r="Q829" s="417"/>
      <c r="R829" s="417"/>
      <c r="S829" s="417"/>
      <c r="T829" s="417"/>
      <c r="U829" s="417"/>
      <c r="V829" s="417"/>
      <c r="W829" s="417"/>
      <c r="X829" s="417"/>
      <c r="Y829" s="417"/>
      <c r="Z829" s="417"/>
      <c r="AA829" s="417"/>
      <c r="AB829" s="417"/>
      <c r="AC829" s="417"/>
    </row>
    <row r="830" spans="2:29" x14ac:dyDescent="0.25">
      <c r="B830" s="417"/>
      <c r="C830" s="417"/>
      <c r="D830" s="417"/>
      <c r="E830" s="417"/>
      <c r="F830" s="417"/>
      <c r="G830" s="417"/>
      <c r="H830" s="417"/>
      <c r="I830" s="417"/>
      <c r="J830" s="417"/>
      <c r="K830" s="417"/>
      <c r="L830" s="417"/>
      <c r="M830" s="417"/>
      <c r="N830" s="417"/>
      <c r="O830" s="417"/>
      <c r="P830" s="417"/>
      <c r="Q830" s="417"/>
      <c r="R830" s="417"/>
      <c r="S830" s="417"/>
      <c r="T830" s="417"/>
      <c r="U830" s="417"/>
      <c r="V830" s="417"/>
      <c r="W830" s="417"/>
      <c r="X830" s="417"/>
      <c r="Y830" s="417"/>
      <c r="Z830" s="417"/>
      <c r="AA830" s="417"/>
      <c r="AB830" s="417"/>
      <c r="AC830" s="417"/>
    </row>
    <row r="831" spans="2:29" x14ac:dyDescent="0.25">
      <c r="B831" s="417"/>
      <c r="C831" s="417"/>
      <c r="D831" s="417"/>
      <c r="E831" s="417"/>
      <c r="F831" s="417"/>
      <c r="G831" s="417"/>
      <c r="H831" s="417"/>
      <c r="I831" s="417"/>
      <c r="J831" s="417"/>
      <c r="K831" s="417"/>
      <c r="L831" s="417"/>
      <c r="M831" s="417"/>
      <c r="N831" s="417"/>
      <c r="O831" s="417"/>
      <c r="P831" s="417"/>
      <c r="Q831" s="417"/>
      <c r="R831" s="417"/>
      <c r="S831" s="417"/>
      <c r="T831" s="417"/>
      <c r="U831" s="417"/>
      <c r="V831" s="417"/>
      <c r="W831" s="417"/>
      <c r="X831" s="417"/>
      <c r="Y831" s="417"/>
      <c r="Z831" s="417"/>
      <c r="AA831" s="417"/>
      <c r="AB831" s="417"/>
      <c r="AC831" s="417"/>
    </row>
    <row r="832" spans="2:29" x14ac:dyDescent="0.25">
      <c r="B832" s="417"/>
      <c r="C832" s="417"/>
      <c r="D832" s="417"/>
      <c r="E832" s="417"/>
      <c r="F832" s="417"/>
      <c r="G832" s="417"/>
      <c r="H832" s="417"/>
      <c r="I832" s="417"/>
      <c r="J832" s="417"/>
      <c r="K832" s="417"/>
      <c r="L832" s="417"/>
      <c r="M832" s="417"/>
      <c r="N832" s="417"/>
      <c r="O832" s="417"/>
      <c r="P832" s="417"/>
      <c r="Q832" s="417"/>
      <c r="R832" s="417"/>
      <c r="S832" s="417"/>
      <c r="T832" s="417"/>
      <c r="U832" s="417"/>
      <c r="V832" s="417"/>
      <c r="W832" s="417"/>
      <c r="X832" s="417"/>
      <c r="Y832" s="417"/>
      <c r="Z832" s="417"/>
      <c r="AA832" s="417"/>
      <c r="AB832" s="417"/>
      <c r="AC832" s="417"/>
    </row>
    <row r="833" spans="2:29" x14ac:dyDescent="0.25">
      <c r="B833" s="417"/>
      <c r="C833" s="417"/>
      <c r="D833" s="417"/>
      <c r="E833" s="417"/>
      <c r="F833" s="417"/>
      <c r="G833" s="417"/>
      <c r="H833" s="417"/>
      <c r="I833" s="417"/>
      <c r="J833" s="417"/>
      <c r="K833" s="417"/>
      <c r="L833" s="417"/>
      <c r="M833" s="417"/>
      <c r="N833" s="417"/>
      <c r="O833" s="417"/>
      <c r="P833" s="417"/>
      <c r="Q833" s="417"/>
      <c r="R833" s="417"/>
      <c r="S833" s="417"/>
      <c r="T833" s="417"/>
      <c r="U833" s="417"/>
      <c r="V833" s="417"/>
      <c r="W833" s="417"/>
      <c r="X833" s="417"/>
      <c r="Y833" s="417"/>
      <c r="Z833" s="417"/>
      <c r="AA833" s="417"/>
      <c r="AB833" s="417"/>
      <c r="AC833" s="417"/>
    </row>
    <row r="834" spans="2:29" x14ac:dyDescent="0.25">
      <c r="B834" s="417"/>
      <c r="C834" s="417"/>
      <c r="D834" s="417"/>
      <c r="E834" s="417"/>
      <c r="F834" s="417"/>
      <c r="G834" s="417"/>
      <c r="H834" s="417"/>
      <c r="I834" s="417"/>
      <c r="J834" s="417"/>
      <c r="K834" s="417"/>
      <c r="L834" s="417"/>
      <c r="M834" s="417"/>
      <c r="N834" s="417"/>
      <c r="O834" s="417"/>
      <c r="P834" s="417"/>
      <c r="Q834" s="417"/>
      <c r="R834" s="417"/>
      <c r="S834" s="417"/>
      <c r="T834" s="417"/>
      <c r="U834" s="417"/>
      <c r="V834" s="417"/>
      <c r="W834" s="417"/>
      <c r="X834" s="417"/>
      <c r="Y834" s="417"/>
      <c r="Z834" s="417"/>
      <c r="AA834" s="417"/>
      <c r="AB834" s="417"/>
      <c r="AC834" s="417"/>
    </row>
    <row r="835" spans="2:29" x14ac:dyDescent="0.25">
      <c r="B835" s="417"/>
      <c r="C835" s="417"/>
      <c r="D835" s="417"/>
      <c r="E835" s="417"/>
      <c r="F835" s="417"/>
      <c r="G835" s="417"/>
      <c r="H835" s="417"/>
      <c r="I835" s="417"/>
      <c r="J835" s="417"/>
      <c r="K835" s="417"/>
      <c r="L835" s="417"/>
      <c r="M835" s="417"/>
      <c r="N835" s="417"/>
      <c r="O835" s="417"/>
      <c r="P835" s="417"/>
      <c r="Q835" s="417"/>
      <c r="R835" s="417"/>
      <c r="S835" s="417"/>
      <c r="T835" s="417"/>
      <c r="U835" s="417"/>
      <c r="V835" s="417"/>
      <c r="W835" s="417"/>
      <c r="X835" s="417"/>
      <c r="Y835" s="417"/>
      <c r="Z835" s="417"/>
      <c r="AA835" s="417"/>
      <c r="AB835" s="417"/>
      <c r="AC835" s="417"/>
    </row>
    <row r="836" spans="2:29" x14ac:dyDescent="0.25">
      <c r="B836" s="417"/>
      <c r="C836" s="417"/>
      <c r="D836" s="417"/>
      <c r="E836" s="417"/>
      <c r="F836" s="417"/>
      <c r="G836" s="417"/>
      <c r="H836" s="417"/>
      <c r="I836" s="417"/>
      <c r="J836" s="417"/>
      <c r="K836" s="417"/>
      <c r="L836" s="417"/>
      <c r="M836" s="417"/>
      <c r="N836" s="417"/>
      <c r="O836" s="417"/>
      <c r="P836" s="417"/>
      <c r="Q836" s="417"/>
      <c r="R836" s="417"/>
      <c r="S836" s="417"/>
      <c r="T836" s="417"/>
      <c r="U836" s="417"/>
      <c r="V836" s="417"/>
      <c r="W836" s="417"/>
      <c r="X836" s="417"/>
      <c r="Y836" s="417"/>
      <c r="Z836" s="417"/>
      <c r="AA836" s="417"/>
      <c r="AB836" s="417"/>
      <c r="AC836" s="417"/>
    </row>
    <row r="837" spans="2:29" x14ac:dyDescent="0.25">
      <c r="B837" s="417"/>
      <c r="C837" s="417"/>
      <c r="D837" s="417"/>
      <c r="E837" s="417"/>
      <c r="F837" s="417"/>
      <c r="G837" s="417"/>
      <c r="H837" s="417"/>
      <c r="I837" s="417"/>
      <c r="J837" s="417"/>
      <c r="K837" s="417"/>
      <c r="L837" s="417"/>
      <c r="M837" s="417"/>
      <c r="N837" s="417"/>
      <c r="O837" s="417"/>
      <c r="P837" s="417"/>
      <c r="Q837" s="417"/>
      <c r="R837" s="417"/>
      <c r="S837" s="417"/>
      <c r="T837" s="417"/>
      <c r="U837" s="417"/>
      <c r="V837" s="417"/>
      <c r="W837" s="417"/>
      <c r="X837" s="417"/>
      <c r="Y837" s="417"/>
      <c r="Z837" s="417"/>
      <c r="AA837" s="417"/>
      <c r="AB837" s="417"/>
      <c r="AC837" s="417"/>
    </row>
    <row r="838" spans="2:29" x14ac:dyDescent="0.25">
      <c r="B838" s="417"/>
      <c r="C838" s="417"/>
      <c r="D838" s="417"/>
      <c r="E838" s="417"/>
      <c r="F838" s="417"/>
      <c r="G838" s="417"/>
      <c r="H838" s="417"/>
      <c r="I838" s="417"/>
      <c r="J838" s="417"/>
      <c r="K838" s="417"/>
      <c r="L838" s="417"/>
      <c r="M838" s="417"/>
      <c r="N838" s="417"/>
      <c r="O838" s="417"/>
      <c r="P838" s="417"/>
      <c r="Q838" s="417"/>
      <c r="R838" s="417"/>
      <c r="S838" s="417"/>
      <c r="T838" s="417"/>
      <c r="U838" s="417"/>
      <c r="V838" s="417"/>
      <c r="W838" s="417"/>
      <c r="X838" s="417"/>
      <c r="Y838" s="417"/>
      <c r="Z838" s="417"/>
      <c r="AA838" s="417"/>
      <c r="AB838" s="417"/>
      <c r="AC838" s="417"/>
    </row>
    <row r="839" spans="2:29" x14ac:dyDescent="0.25">
      <c r="B839" s="417"/>
      <c r="C839" s="417"/>
      <c r="D839" s="417"/>
      <c r="E839" s="417"/>
      <c r="F839" s="417"/>
      <c r="G839" s="417"/>
      <c r="H839" s="417"/>
      <c r="I839" s="417"/>
      <c r="J839" s="417"/>
      <c r="K839" s="417"/>
      <c r="L839" s="417"/>
      <c r="M839" s="417"/>
      <c r="N839" s="417"/>
      <c r="O839" s="417"/>
      <c r="P839" s="417"/>
      <c r="Q839" s="417"/>
      <c r="R839" s="417"/>
      <c r="S839" s="417"/>
      <c r="T839" s="417"/>
      <c r="U839" s="417"/>
      <c r="V839" s="417"/>
      <c r="W839" s="417"/>
      <c r="X839" s="417"/>
      <c r="Y839" s="417"/>
      <c r="Z839" s="417"/>
      <c r="AA839" s="417"/>
      <c r="AB839" s="417"/>
      <c r="AC839" s="417"/>
    </row>
    <row r="840" spans="2:29" x14ac:dyDescent="0.25">
      <c r="B840" s="417"/>
      <c r="C840" s="417"/>
      <c r="D840" s="417"/>
      <c r="E840" s="417"/>
      <c r="F840" s="417"/>
      <c r="G840" s="417"/>
      <c r="H840" s="417"/>
      <c r="I840" s="417"/>
      <c r="J840" s="417"/>
      <c r="K840" s="417"/>
      <c r="L840" s="417"/>
      <c r="M840" s="417"/>
      <c r="N840" s="417"/>
      <c r="O840" s="417"/>
      <c r="P840" s="417"/>
      <c r="Q840" s="417"/>
      <c r="R840" s="417"/>
      <c r="S840" s="417"/>
      <c r="T840" s="417"/>
      <c r="U840" s="417"/>
      <c r="V840" s="417"/>
      <c r="W840" s="417"/>
      <c r="X840" s="417"/>
      <c r="Y840" s="417"/>
      <c r="Z840" s="417"/>
      <c r="AA840" s="417"/>
      <c r="AB840" s="417"/>
      <c r="AC840" s="417"/>
    </row>
    <row r="841" spans="2:29" x14ac:dyDescent="0.25">
      <c r="B841" s="417"/>
      <c r="C841" s="417"/>
      <c r="D841" s="417"/>
      <c r="E841" s="417"/>
      <c r="F841" s="417"/>
      <c r="G841" s="417"/>
      <c r="H841" s="417"/>
      <c r="I841" s="417"/>
      <c r="J841" s="417"/>
      <c r="K841" s="417"/>
      <c r="L841" s="417"/>
      <c r="M841" s="417"/>
      <c r="N841" s="417"/>
      <c r="O841" s="417"/>
      <c r="P841" s="417"/>
      <c r="Q841" s="417"/>
      <c r="R841" s="417"/>
      <c r="S841" s="417"/>
      <c r="T841" s="417"/>
      <c r="U841" s="417"/>
      <c r="V841" s="417"/>
      <c r="W841" s="417"/>
      <c r="X841" s="417"/>
      <c r="Y841" s="417"/>
      <c r="Z841" s="417"/>
      <c r="AA841" s="417"/>
      <c r="AB841" s="417"/>
      <c r="AC841" s="417"/>
    </row>
    <row r="842" spans="2:29" x14ac:dyDescent="0.25">
      <c r="B842" s="417"/>
      <c r="C842" s="417"/>
      <c r="D842" s="417"/>
      <c r="E842" s="417"/>
      <c r="F842" s="417"/>
      <c r="G842" s="417"/>
      <c r="H842" s="417"/>
      <c r="I842" s="417"/>
      <c r="J842" s="417"/>
      <c r="K842" s="417"/>
      <c r="L842" s="417"/>
      <c r="M842" s="417"/>
      <c r="N842" s="417"/>
      <c r="O842" s="417"/>
      <c r="P842" s="417"/>
      <c r="Q842" s="417"/>
      <c r="R842" s="417"/>
      <c r="S842" s="417"/>
      <c r="T842" s="417"/>
      <c r="U842" s="417"/>
      <c r="V842" s="417"/>
      <c r="W842" s="417"/>
      <c r="X842" s="417"/>
      <c r="Y842" s="417"/>
      <c r="Z842" s="417"/>
      <c r="AA842" s="417"/>
      <c r="AB842" s="417"/>
      <c r="AC842" s="417"/>
    </row>
    <row r="843" spans="2:29" x14ac:dyDescent="0.25">
      <c r="B843" s="417"/>
      <c r="C843" s="417"/>
      <c r="D843" s="417"/>
      <c r="E843" s="417"/>
      <c r="F843" s="417"/>
      <c r="G843" s="417"/>
      <c r="H843" s="417"/>
      <c r="I843" s="417"/>
      <c r="J843" s="417"/>
      <c r="K843" s="417"/>
      <c r="L843" s="417"/>
      <c r="M843" s="417"/>
      <c r="N843" s="417"/>
      <c r="O843" s="417"/>
      <c r="P843" s="417"/>
      <c r="Q843" s="417"/>
      <c r="R843" s="417"/>
      <c r="S843" s="417"/>
      <c r="T843" s="417"/>
      <c r="U843" s="417"/>
      <c r="V843" s="417"/>
      <c r="W843" s="417"/>
      <c r="X843" s="417"/>
      <c r="Y843" s="417"/>
      <c r="Z843" s="417"/>
      <c r="AA843" s="417"/>
      <c r="AB843" s="417"/>
      <c r="AC843" s="417"/>
    </row>
    <row r="844" spans="2:29" x14ac:dyDescent="0.25">
      <c r="B844" s="417"/>
      <c r="C844" s="417"/>
      <c r="D844" s="417"/>
      <c r="E844" s="417"/>
      <c r="F844" s="417"/>
      <c r="G844" s="417"/>
      <c r="H844" s="417"/>
      <c r="I844" s="417"/>
      <c r="J844" s="417"/>
      <c r="K844" s="417"/>
      <c r="L844" s="417"/>
      <c r="M844" s="417"/>
      <c r="N844" s="417"/>
      <c r="O844" s="417"/>
      <c r="P844" s="417"/>
      <c r="Q844" s="417"/>
      <c r="R844" s="417"/>
      <c r="S844" s="417"/>
      <c r="T844" s="417"/>
      <c r="U844" s="417"/>
      <c r="V844" s="417"/>
      <c r="W844" s="417"/>
      <c r="X844" s="417"/>
      <c r="Y844" s="417"/>
      <c r="Z844" s="417"/>
      <c r="AA844" s="417"/>
      <c r="AB844" s="417"/>
      <c r="AC844" s="417"/>
    </row>
    <row r="845" spans="2:29" x14ac:dyDescent="0.25">
      <c r="B845" s="417"/>
      <c r="C845" s="417"/>
      <c r="D845" s="417"/>
      <c r="E845" s="417"/>
      <c r="F845" s="417"/>
      <c r="G845" s="417"/>
      <c r="H845" s="417"/>
      <c r="I845" s="417"/>
      <c r="J845" s="417"/>
      <c r="K845" s="417"/>
      <c r="L845" s="417"/>
      <c r="M845" s="417"/>
      <c r="N845" s="417"/>
      <c r="O845" s="417"/>
      <c r="P845" s="417"/>
      <c r="Q845" s="417"/>
      <c r="R845" s="417"/>
      <c r="S845" s="417"/>
      <c r="T845" s="417"/>
      <c r="U845" s="417"/>
      <c r="V845" s="417"/>
      <c r="W845" s="417"/>
      <c r="X845" s="417"/>
      <c r="Y845" s="417"/>
      <c r="Z845" s="417"/>
      <c r="AA845" s="417"/>
      <c r="AB845" s="417"/>
      <c r="AC845" s="417"/>
    </row>
    <row r="846" spans="2:29" x14ac:dyDescent="0.25">
      <c r="B846" s="417"/>
      <c r="C846" s="417"/>
      <c r="D846" s="417"/>
      <c r="E846" s="417"/>
      <c r="F846" s="417"/>
      <c r="G846" s="417"/>
      <c r="H846" s="417"/>
      <c r="I846" s="417"/>
      <c r="J846" s="417"/>
      <c r="K846" s="417"/>
      <c r="L846" s="417"/>
      <c r="M846" s="417"/>
      <c r="N846" s="417"/>
      <c r="O846" s="417"/>
      <c r="P846" s="417"/>
      <c r="Q846" s="417"/>
      <c r="R846" s="417"/>
      <c r="S846" s="417"/>
      <c r="T846" s="417"/>
      <c r="U846" s="417"/>
      <c r="V846" s="417"/>
      <c r="W846" s="417"/>
      <c r="X846" s="417"/>
      <c r="Y846" s="417"/>
      <c r="Z846" s="417"/>
      <c r="AA846" s="417"/>
      <c r="AB846" s="417"/>
      <c r="AC846" s="417"/>
    </row>
    <row r="847" spans="2:29" x14ac:dyDescent="0.25">
      <c r="B847" s="417"/>
      <c r="C847" s="417"/>
      <c r="D847" s="417"/>
      <c r="E847" s="417"/>
      <c r="F847" s="417"/>
      <c r="G847" s="417"/>
      <c r="H847" s="417"/>
      <c r="I847" s="417"/>
      <c r="J847" s="417"/>
      <c r="K847" s="417"/>
      <c r="L847" s="417"/>
      <c r="M847" s="417"/>
      <c r="N847" s="417"/>
      <c r="O847" s="417"/>
      <c r="P847" s="417"/>
      <c r="Q847" s="417"/>
      <c r="R847" s="417"/>
      <c r="S847" s="417"/>
      <c r="T847" s="417"/>
      <c r="U847" s="417"/>
      <c r="V847" s="417"/>
      <c r="W847" s="417"/>
      <c r="X847" s="417"/>
      <c r="Y847" s="417"/>
      <c r="Z847" s="417"/>
      <c r="AA847" s="417"/>
      <c r="AB847" s="417"/>
      <c r="AC847" s="417"/>
    </row>
    <row r="848" spans="2:29" x14ac:dyDescent="0.25">
      <c r="B848" s="417"/>
      <c r="C848" s="417"/>
      <c r="D848" s="417"/>
      <c r="E848" s="417"/>
      <c r="F848" s="417"/>
      <c r="G848" s="417"/>
      <c r="H848" s="417"/>
      <c r="I848" s="417"/>
      <c r="J848" s="417"/>
      <c r="K848" s="417"/>
      <c r="L848" s="417"/>
      <c r="M848" s="417"/>
      <c r="N848" s="417"/>
      <c r="O848" s="417"/>
      <c r="P848" s="417"/>
      <c r="Q848" s="417"/>
      <c r="R848" s="417"/>
      <c r="S848" s="417"/>
      <c r="T848" s="417"/>
      <c r="U848" s="417"/>
      <c r="V848" s="417"/>
      <c r="W848" s="417"/>
      <c r="X848" s="417"/>
      <c r="Y848" s="417"/>
      <c r="Z848" s="417"/>
      <c r="AA848" s="417"/>
      <c r="AB848" s="417"/>
      <c r="AC848" s="417"/>
    </row>
    <row r="849" spans="2:29" x14ac:dyDescent="0.25">
      <c r="B849" s="417"/>
      <c r="C849" s="417"/>
      <c r="D849" s="417"/>
      <c r="E849" s="417"/>
      <c r="F849" s="417"/>
      <c r="G849" s="417"/>
      <c r="H849" s="417"/>
      <c r="I849" s="417"/>
      <c r="J849" s="417"/>
      <c r="K849" s="417"/>
      <c r="L849" s="417"/>
      <c r="M849" s="417"/>
      <c r="N849" s="417"/>
      <c r="O849" s="417"/>
      <c r="P849" s="417"/>
      <c r="Q849" s="417"/>
      <c r="R849" s="417"/>
      <c r="S849" s="417"/>
      <c r="T849" s="417"/>
      <c r="U849" s="417"/>
      <c r="V849" s="417"/>
      <c r="W849" s="417"/>
      <c r="X849" s="417"/>
      <c r="Y849" s="417"/>
      <c r="Z849" s="417"/>
      <c r="AA849" s="417"/>
      <c r="AB849" s="417"/>
      <c r="AC849" s="417"/>
    </row>
    <row r="850" spans="2:29" x14ac:dyDescent="0.25">
      <c r="B850" s="417"/>
      <c r="C850" s="417"/>
      <c r="D850" s="417"/>
      <c r="E850" s="417"/>
      <c r="F850" s="417"/>
      <c r="G850" s="417"/>
      <c r="H850" s="417"/>
      <c r="I850" s="417"/>
      <c r="J850" s="417"/>
      <c r="K850" s="417"/>
      <c r="L850" s="417"/>
      <c r="M850" s="417"/>
      <c r="N850" s="417"/>
      <c r="O850" s="417"/>
      <c r="P850" s="417"/>
      <c r="Q850" s="417"/>
      <c r="R850" s="417"/>
      <c r="S850" s="417"/>
      <c r="T850" s="417"/>
      <c r="U850" s="417"/>
      <c r="V850" s="417"/>
      <c r="W850" s="417"/>
      <c r="X850" s="417"/>
      <c r="Y850" s="417"/>
      <c r="Z850" s="417"/>
      <c r="AA850" s="417"/>
      <c r="AB850" s="417"/>
      <c r="AC850" s="417"/>
    </row>
    <row r="851" spans="2:29" x14ac:dyDescent="0.25">
      <c r="B851" s="417"/>
      <c r="C851" s="417"/>
      <c r="D851" s="417"/>
      <c r="E851" s="417"/>
      <c r="F851" s="417"/>
      <c r="G851" s="417"/>
      <c r="H851" s="417"/>
      <c r="I851" s="417"/>
      <c r="J851" s="417"/>
      <c r="K851" s="417"/>
      <c r="L851" s="417"/>
      <c r="M851" s="417"/>
      <c r="N851" s="417"/>
      <c r="O851" s="417"/>
      <c r="P851" s="417"/>
      <c r="Q851" s="417"/>
      <c r="R851" s="417"/>
      <c r="S851" s="417"/>
      <c r="T851" s="417"/>
      <c r="U851" s="417"/>
      <c r="V851" s="417"/>
      <c r="W851" s="417"/>
      <c r="X851" s="417"/>
      <c r="Y851" s="417"/>
      <c r="Z851" s="417"/>
      <c r="AA851" s="417"/>
      <c r="AB851" s="417"/>
      <c r="AC851" s="417"/>
    </row>
  </sheetData>
  <mergeCells count="15">
    <mergeCell ref="B3:C3"/>
    <mergeCell ref="B6:E6"/>
    <mergeCell ref="F6:R6"/>
    <mergeCell ref="U6:V6"/>
    <mergeCell ref="W6:AD6"/>
    <mergeCell ref="AA7:AA8"/>
    <mergeCell ref="AB7:AB8"/>
    <mergeCell ref="AC7:AC8"/>
    <mergeCell ref="AD7:AD8"/>
    <mergeCell ref="B28:D28"/>
    <mergeCell ref="A7:A8"/>
    <mergeCell ref="B7:B8"/>
    <mergeCell ref="X7:X8"/>
    <mergeCell ref="Y7:Y8"/>
    <mergeCell ref="Z7:Z8"/>
  </mergeCells>
  <conditionalFormatting sqref="D3 B4:D4 A3:A4">
    <cfRule type="containsText" dxfId="5" priority="1" stopIfTrue="1" operator="containsText" text="TDI">
      <formula>NOT(ISERROR(SEARCH("TDI",A3)))</formula>
    </cfRule>
    <cfRule type="containsText" dxfId="4" priority="2" stopIfTrue="1" operator="containsText" text="Rev">
      <formula>NOT(ISERROR(SEARCH("Rev",A3)))</formula>
    </cfRule>
    <cfRule type="containsText" dxfId="3" priority="3" stopIfTrue="1" operator="containsText" text="Victim">
      <formula>NOT(ISERROR(SEARCH("Victim",A3)))</formula>
    </cfRule>
  </conditionalFormatting>
  <dataValidations disablePrompts="1" count="4">
    <dataValidation type="list" allowBlank="1" showInputMessage="1" showErrorMessage="1" sqref="A4" xr:uid="{00000000-0002-0000-0000-000000000000}">
      <formula1>$A$58:$A$61</formula1>
    </dataValidation>
    <dataValidation type="list" allowBlank="1" showInputMessage="1" showErrorMessage="1" sqref="C4" xr:uid="{00000000-0002-0000-0000-000001000000}">
      <formula1>$A$28:$A$54</formula1>
    </dataValidation>
    <dataValidation type="list" allowBlank="1" showInputMessage="1" showErrorMessage="1" sqref="B4" xr:uid="{00000000-0002-0000-0000-000002000000}">
      <formula1>$B$28:$B$61</formula1>
    </dataValidation>
    <dataValidation type="list" allowBlank="1" showInputMessage="1" showErrorMessage="1" sqref="D4" xr:uid="{00000000-0002-0000-0000-000003000000}">
      <formula1>$A$65:$A$67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90" zoomScaleNormal="90" workbookViewId="0">
      <selection activeCell="C23" sqref="C23"/>
    </sheetView>
  </sheetViews>
  <sheetFormatPr defaultRowHeight="14" x14ac:dyDescent="0.3"/>
  <cols>
    <col min="1" max="1" width="15.25" customWidth="1"/>
    <col min="2" max="3" width="14.75" customWidth="1"/>
    <col min="4" max="4" width="5.5" customWidth="1"/>
    <col min="5" max="5" width="28.58203125" customWidth="1"/>
    <col min="6" max="6" width="7.08203125" customWidth="1"/>
    <col min="7" max="7" width="15.08203125" customWidth="1"/>
    <col min="8" max="8" width="18.83203125" customWidth="1"/>
  </cols>
  <sheetData>
    <row r="1" spans="1:8" ht="29" x14ac:dyDescent="0.3">
      <c r="A1" s="374" t="s">
        <v>415</v>
      </c>
      <c r="B1" s="375" t="s">
        <v>416</v>
      </c>
      <c r="C1" s="376" t="s">
        <v>431</v>
      </c>
      <c r="E1" s="377" t="s">
        <v>417</v>
      </c>
      <c r="F1" s="378"/>
      <c r="G1" s="379" t="s">
        <v>446</v>
      </c>
      <c r="H1" s="380" t="s">
        <v>447</v>
      </c>
    </row>
    <row r="2" spans="1:8" ht="14.5" x14ac:dyDescent="0.35">
      <c r="A2" s="381" t="s">
        <v>0</v>
      </c>
      <c r="B2" s="382">
        <v>823</v>
      </c>
      <c r="C2" s="383">
        <v>315.67</v>
      </c>
      <c r="E2" s="384" t="s">
        <v>418</v>
      </c>
      <c r="F2" s="385"/>
      <c r="G2" s="386">
        <f xml:space="preserve"> 1/((B18*B24*B25)+(1-B24*B25))</f>
        <v>7.0451694508524593E-2</v>
      </c>
      <c r="H2" s="386">
        <f xml:space="preserve"> 1/((C18*C24*C25)+(1-C24*C25))</f>
        <v>0.25154783827861515</v>
      </c>
    </row>
    <row r="3" spans="1:8" x14ac:dyDescent="0.3">
      <c r="A3" s="387" t="s">
        <v>92</v>
      </c>
      <c r="B3" s="382">
        <v>600</v>
      </c>
      <c r="C3" s="383">
        <v>600</v>
      </c>
      <c r="E3" t="s">
        <v>419</v>
      </c>
      <c r="F3" s="388"/>
      <c r="G3" s="389">
        <f>B19*(1-B26)+B26</f>
        <v>7.7750426336472156</v>
      </c>
      <c r="H3" s="389">
        <f>C19*(1-C26)+C26</f>
        <v>7.0443254725590618</v>
      </c>
    </row>
    <row r="4" spans="1:8" x14ac:dyDescent="0.3">
      <c r="A4" s="387" t="s">
        <v>420</v>
      </c>
      <c r="B4" s="382">
        <v>24</v>
      </c>
      <c r="C4" s="383">
        <v>24</v>
      </c>
      <c r="E4" s="390" t="s">
        <v>421</v>
      </c>
      <c r="F4" s="391"/>
      <c r="G4" s="392">
        <f>G2/G3</f>
        <v>9.0612615040383659E-3</v>
      </c>
      <c r="H4" s="392">
        <f>H2/H3</f>
        <v>3.5709286752650976E-2</v>
      </c>
    </row>
    <row r="5" spans="1:8" x14ac:dyDescent="0.3">
      <c r="A5" s="387" t="s">
        <v>422</v>
      </c>
      <c r="B5" s="404">
        <v>1</v>
      </c>
      <c r="C5" s="404">
        <v>1</v>
      </c>
    </row>
    <row r="6" spans="1:8" x14ac:dyDescent="0.3">
      <c r="A6" s="387" t="s">
        <v>423</v>
      </c>
      <c r="B6" s="382">
        <v>7</v>
      </c>
      <c r="C6" s="404">
        <v>9.0399999999999991</v>
      </c>
    </row>
    <row r="7" spans="1:8" x14ac:dyDescent="0.3">
      <c r="A7" s="387" t="s">
        <v>7</v>
      </c>
      <c r="B7" s="382">
        <v>0.17499999999999999</v>
      </c>
      <c r="C7" s="383">
        <v>1.0999999999999999E-2</v>
      </c>
    </row>
    <row r="8" spans="1:8" x14ac:dyDescent="0.3">
      <c r="A8" s="403" t="s">
        <v>434</v>
      </c>
      <c r="B8" s="382">
        <v>16</v>
      </c>
      <c r="C8" s="383">
        <v>9.9</v>
      </c>
    </row>
    <row r="9" spans="1:8" x14ac:dyDescent="0.3">
      <c r="A9" s="403" t="s">
        <v>435</v>
      </c>
      <c r="B9" s="393">
        <v>0.32</v>
      </c>
      <c r="C9" s="383">
        <v>0.56999999999999995</v>
      </c>
    </row>
    <row r="10" spans="1:8" x14ac:dyDescent="0.3">
      <c r="A10" s="403" t="s">
        <v>438</v>
      </c>
      <c r="B10" s="393">
        <v>0.9</v>
      </c>
      <c r="C10" s="383">
        <v>0.74</v>
      </c>
    </row>
    <row r="11" spans="1:8" x14ac:dyDescent="0.3">
      <c r="A11" s="403" t="s">
        <v>437</v>
      </c>
      <c r="B11" s="393">
        <v>0.51</v>
      </c>
      <c r="C11" s="383">
        <v>0.51</v>
      </c>
    </row>
    <row r="12" spans="1:8" x14ac:dyDescent="0.3">
      <c r="A12" s="403" t="s">
        <v>436</v>
      </c>
      <c r="B12" s="393">
        <v>1</v>
      </c>
      <c r="C12" s="383">
        <v>1</v>
      </c>
    </row>
    <row r="13" spans="1:8" x14ac:dyDescent="0.3">
      <c r="A13" s="395" t="s">
        <v>424</v>
      </c>
      <c r="B13" s="396">
        <f>B5*B3*1000/(B2*B4*B6)</f>
        <v>4.3395243881270611</v>
      </c>
      <c r="C13" s="396">
        <f>C5*C3*1000/(C2*C4*C6)</f>
        <v>8.7606890919749016</v>
      </c>
      <c r="F13" s="373"/>
    </row>
    <row r="14" spans="1:8" x14ac:dyDescent="0.3">
      <c r="A14" s="398" t="s">
        <v>425</v>
      </c>
      <c r="B14" s="394">
        <f>B7*B13</f>
        <v>0.75941676792223567</v>
      </c>
      <c r="C14" s="490">
        <f>C7*C13</f>
        <v>9.6367580011723908E-2</v>
      </c>
      <c r="F14" s="373"/>
    </row>
    <row r="15" spans="1:8" x14ac:dyDescent="0.3">
      <c r="A15" s="397" t="s">
        <v>439</v>
      </c>
      <c r="B15" s="393">
        <f>B13+B12*B11*B3*1000/(B21*B10*B2)</f>
        <v>8.5985215195672282</v>
      </c>
      <c r="C15" s="393">
        <f>C13+C12*C11*C3*1000/(C21*C10*C2)</f>
        <v>22.265380423144947</v>
      </c>
      <c r="F15" s="373"/>
    </row>
    <row r="16" spans="1:8" x14ac:dyDescent="0.3">
      <c r="A16" s="397" t="s">
        <v>440</v>
      </c>
      <c r="B16" s="393">
        <f>B15*B7</f>
        <v>1.5047412659242649</v>
      </c>
      <c r="C16" s="393">
        <f>C15*C7</f>
        <v>0.24491918465459439</v>
      </c>
      <c r="F16" s="373"/>
    </row>
    <row r="17" spans="1:6" x14ac:dyDescent="0.3">
      <c r="A17" s="398" t="s">
        <v>445</v>
      </c>
      <c r="B17" s="394">
        <f>B11*B12*B3*1000/(B2*B20)</f>
        <v>20.656136087484811</v>
      </c>
      <c r="C17" s="394">
        <f>C11*C12*C3*1000/(C2*C20)</f>
        <v>53.853707986188105</v>
      </c>
      <c r="F17" s="373"/>
    </row>
    <row r="18" spans="1:6" x14ac:dyDescent="0.3">
      <c r="A18" s="486" t="s">
        <v>443</v>
      </c>
      <c r="B18" s="393">
        <f>1+(B8*B16)/(B9+B16)</f>
        <v>14.194122752845935</v>
      </c>
      <c r="C18" s="393">
        <f>1+(C8*C16)/(C9+C16)</f>
        <v>3.9753869754682483</v>
      </c>
    </row>
    <row r="19" spans="1:6" x14ac:dyDescent="0.3">
      <c r="A19" s="489" t="s">
        <v>442</v>
      </c>
      <c r="B19" s="394">
        <f>1+(B8*B17)/(B9+B17)</f>
        <v>16.755913101505151</v>
      </c>
      <c r="C19" s="394">
        <f>1+(C8*C17)/(C9+C17)</f>
        <v>10.796313569787783</v>
      </c>
    </row>
    <row r="20" spans="1:6" x14ac:dyDescent="0.3">
      <c r="A20" s="487" t="s">
        <v>444</v>
      </c>
      <c r="B20" s="488">
        <v>18</v>
      </c>
      <c r="C20" s="488">
        <v>18</v>
      </c>
    </row>
    <row r="21" spans="1:6" x14ac:dyDescent="0.3">
      <c r="A21" s="487" t="s">
        <v>441</v>
      </c>
      <c r="B21" s="488">
        <v>97</v>
      </c>
      <c r="C21" s="488">
        <v>97</v>
      </c>
    </row>
    <row r="23" spans="1:6" ht="29" x14ac:dyDescent="0.3">
      <c r="A23" s="374" t="s">
        <v>426</v>
      </c>
      <c r="B23" s="375" t="s">
        <v>2</v>
      </c>
      <c r="C23" s="375" t="s">
        <v>432</v>
      </c>
    </row>
    <row r="24" spans="1:6" x14ac:dyDescent="0.3">
      <c r="A24" s="399" t="s">
        <v>427</v>
      </c>
      <c r="B24" s="400">
        <v>1</v>
      </c>
      <c r="C24" s="400">
        <v>1</v>
      </c>
    </row>
    <row r="25" spans="1:6" x14ac:dyDescent="0.3">
      <c r="A25" s="399" t="s">
        <v>428</v>
      </c>
      <c r="B25" s="382">
        <v>1</v>
      </c>
      <c r="C25" s="382">
        <v>1</v>
      </c>
    </row>
    <row r="26" spans="1:6" ht="14.5" x14ac:dyDescent="0.35">
      <c r="A26" s="401" t="s">
        <v>429</v>
      </c>
      <c r="B26" s="402">
        <v>0.56999999999999995</v>
      </c>
      <c r="C26" s="402">
        <v>0.38300000000000001</v>
      </c>
    </row>
    <row r="27" spans="1:6" x14ac:dyDescent="0.3">
      <c r="A27" t="s">
        <v>430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347"/>
  <sheetViews>
    <sheetView topLeftCell="A7" zoomScaleNormal="100" workbookViewId="0">
      <selection activeCell="A15" sqref="A15:A16"/>
    </sheetView>
  </sheetViews>
  <sheetFormatPr defaultColWidth="9" defaultRowHeight="11.5" x14ac:dyDescent="0.25"/>
  <cols>
    <col min="1" max="1" width="10.75" style="197" customWidth="1"/>
    <col min="2" max="2" width="14.08203125" style="197" customWidth="1"/>
    <col min="3" max="3" width="11.58203125" style="197" customWidth="1"/>
    <col min="4" max="4" width="4.75" style="197" customWidth="1"/>
    <col min="5" max="5" width="5.75" style="197" customWidth="1"/>
    <col min="6" max="6" width="4.83203125" style="197" customWidth="1"/>
    <col min="7" max="7" width="5.5" style="197" customWidth="1"/>
    <col min="8" max="8" width="9" style="197"/>
    <col min="9" max="9" width="5.08203125" style="197" customWidth="1"/>
    <col min="10" max="10" width="7.25" style="197" customWidth="1"/>
    <col min="11" max="11" width="6.75" style="197" customWidth="1"/>
    <col min="12" max="12" width="9.5" style="197" customWidth="1"/>
    <col min="13" max="13" width="2.5" style="197" hidden="1" customWidth="1"/>
    <col min="14" max="14" width="4.58203125" style="197" customWidth="1"/>
    <col min="15" max="15" width="4.25" style="197" customWidth="1"/>
    <col min="16" max="16" width="6.58203125" style="197" hidden="1" customWidth="1"/>
    <col min="17" max="17" width="8.08203125" style="197" customWidth="1"/>
    <col min="18" max="18" width="7.33203125" style="197" customWidth="1"/>
    <col min="19" max="19" width="5.33203125" style="197" hidden="1" customWidth="1"/>
    <col min="20" max="20" width="4.25" style="197" hidden="1" customWidth="1"/>
    <col min="21" max="21" width="4.58203125" style="197" customWidth="1"/>
    <col min="22" max="22" width="6" style="197" customWidth="1"/>
    <col min="23" max="23" width="7.5" style="197" customWidth="1"/>
    <col min="24" max="24" width="6.08203125" style="197" customWidth="1"/>
    <col min="25" max="25" width="6.5" style="197" hidden="1" customWidth="1"/>
    <col min="26" max="26" width="5.33203125" style="197" customWidth="1"/>
    <col min="27" max="27" width="7.5" style="197" customWidth="1"/>
    <col min="28" max="28" width="6.25" style="197" hidden="1" customWidth="1"/>
    <col min="29" max="29" width="8.33203125" style="197" hidden="1" customWidth="1"/>
    <col min="30" max="30" width="7" style="197" customWidth="1"/>
    <col min="31" max="31" width="2" style="197" customWidth="1"/>
    <col min="32" max="16384" width="9" style="197"/>
  </cols>
  <sheetData>
    <row r="1" spans="1:38" ht="15" customHeight="1" x14ac:dyDescent="0.25">
      <c r="A1" s="193" t="s">
        <v>366</v>
      </c>
      <c r="B1" s="194"/>
      <c r="C1" s="194"/>
      <c r="D1" s="194"/>
      <c r="E1" s="194"/>
      <c r="F1" s="195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200"/>
      <c r="Z1" s="200"/>
      <c r="AA1" s="200"/>
      <c r="AB1" s="200"/>
      <c r="AC1" s="200"/>
      <c r="AD1" s="200"/>
      <c r="AE1" s="201"/>
    </row>
    <row r="2" spans="1:38" ht="14.25" customHeight="1" x14ac:dyDescent="0.25">
      <c r="A2" s="198" t="s">
        <v>269</v>
      </c>
      <c r="B2" s="199"/>
      <c r="C2" s="199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1"/>
    </row>
    <row r="3" spans="1:38" ht="16.5" customHeight="1" x14ac:dyDescent="0.25">
      <c r="A3" s="202" t="s">
        <v>332</v>
      </c>
      <c r="B3" s="533" t="s">
        <v>264</v>
      </c>
      <c r="C3" s="534"/>
      <c r="D3" s="202" t="s">
        <v>326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1"/>
    </row>
    <row r="4" spans="1:38" ht="29.25" customHeight="1" x14ac:dyDescent="0.25">
      <c r="A4" s="192" t="s">
        <v>413</v>
      </c>
      <c r="B4" s="192" t="s">
        <v>265</v>
      </c>
      <c r="C4" s="192" t="s">
        <v>262</v>
      </c>
      <c r="D4" s="192" t="s">
        <v>46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1"/>
    </row>
    <row r="5" spans="1:38" ht="10.5" customHeight="1" x14ac:dyDescent="0.25">
      <c r="A5" s="203"/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</row>
    <row r="6" spans="1:38" s="34" customFormat="1" ht="18.75" customHeight="1" x14ac:dyDescent="0.3">
      <c r="A6" s="316"/>
      <c r="B6" s="522" t="s">
        <v>364</v>
      </c>
      <c r="C6" s="522"/>
      <c r="D6" s="522"/>
      <c r="E6" s="522"/>
      <c r="F6" s="522" t="s">
        <v>365</v>
      </c>
      <c r="G6" s="522"/>
      <c r="H6" s="522"/>
      <c r="I6" s="522"/>
      <c r="J6" s="522"/>
      <c r="K6" s="522"/>
      <c r="L6" s="522"/>
      <c r="M6" s="522"/>
      <c r="N6" s="522"/>
      <c r="O6" s="522"/>
      <c r="P6" s="522"/>
      <c r="Q6" s="522"/>
      <c r="R6" s="522"/>
      <c r="S6" s="317"/>
      <c r="T6" s="317"/>
      <c r="U6" s="522" t="s">
        <v>258</v>
      </c>
      <c r="V6" s="522"/>
      <c r="W6" s="522" t="s">
        <v>363</v>
      </c>
      <c r="X6" s="522"/>
      <c r="Y6" s="522"/>
      <c r="Z6" s="522"/>
      <c r="AA6" s="522"/>
      <c r="AB6" s="522"/>
      <c r="AC6" s="522"/>
      <c r="AD6" s="522"/>
      <c r="AE6" s="112"/>
    </row>
    <row r="7" spans="1:38" s="355" customFormat="1" ht="63" customHeight="1" x14ac:dyDescent="0.25">
      <c r="A7" s="535" t="s">
        <v>414</v>
      </c>
      <c r="B7" s="528" t="s">
        <v>403</v>
      </c>
      <c r="C7" s="343" t="s">
        <v>383</v>
      </c>
      <c r="D7" s="343" t="s">
        <v>384</v>
      </c>
      <c r="E7" s="343" t="s">
        <v>385</v>
      </c>
      <c r="F7" s="344" t="s">
        <v>0</v>
      </c>
      <c r="G7" s="345" t="s">
        <v>28</v>
      </c>
      <c r="H7" s="346" t="s">
        <v>47</v>
      </c>
      <c r="I7" s="345" t="s">
        <v>386</v>
      </c>
      <c r="J7" s="345" t="s">
        <v>387</v>
      </c>
      <c r="K7" s="347" t="s">
        <v>395</v>
      </c>
      <c r="L7" s="348" t="s">
        <v>396</v>
      </c>
      <c r="M7" s="348" t="s">
        <v>388</v>
      </c>
      <c r="N7" s="348" t="s">
        <v>397</v>
      </c>
      <c r="O7" s="345" t="s">
        <v>238</v>
      </c>
      <c r="P7" s="349" t="s">
        <v>44</v>
      </c>
      <c r="Q7" s="334" t="s">
        <v>398</v>
      </c>
      <c r="R7" s="334" t="s">
        <v>378</v>
      </c>
      <c r="S7" s="372" t="s">
        <v>406</v>
      </c>
      <c r="T7" s="350" t="s">
        <v>46</v>
      </c>
      <c r="U7" s="351" t="s">
        <v>389</v>
      </c>
      <c r="V7" s="352" t="s">
        <v>390</v>
      </c>
      <c r="W7" s="353" t="s">
        <v>391</v>
      </c>
      <c r="X7" s="520" t="s">
        <v>400</v>
      </c>
      <c r="Y7" s="520" t="s">
        <v>402</v>
      </c>
      <c r="Z7" s="520" t="s">
        <v>392</v>
      </c>
      <c r="AA7" s="520" t="s">
        <v>399</v>
      </c>
      <c r="AB7" s="520" t="s">
        <v>405</v>
      </c>
      <c r="AC7" s="520" t="s">
        <v>404</v>
      </c>
      <c r="AD7" s="520" t="s">
        <v>382</v>
      </c>
      <c r="AE7" s="354"/>
    </row>
    <row r="8" spans="1:38" s="2" customFormat="1" ht="23.25" customHeight="1" x14ac:dyDescent="0.25">
      <c r="A8" s="536"/>
      <c r="B8" s="529"/>
      <c r="C8" s="356"/>
      <c r="D8" s="356" t="s">
        <v>393</v>
      </c>
      <c r="E8" s="356"/>
      <c r="F8" s="357"/>
      <c r="G8" s="358" t="s">
        <v>5</v>
      </c>
      <c r="H8" s="358" t="s">
        <v>69</v>
      </c>
      <c r="I8" s="358"/>
      <c r="J8" s="358" t="s">
        <v>4</v>
      </c>
      <c r="K8" s="359" t="s">
        <v>394</v>
      </c>
      <c r="L8" s="358"/>
      <c r="M8" s="360" t="s">
        <v>4</v>
      </c>
      <c r="N8" s="358"/>
      <c r="O8" s="361"/>
      <c r="P8" s="360" t="s">
        <v>4</v>
      </c>
      <c r="Q8" s="362" t="s">
        <v>71</v>
      </c>
      <c r="R8" s="362" t="s">
        <v>394</v>
      </c>
      <c r="S8" s="363" t="s">
        <v>4</v>
      </c>
      <c r="T8" s="364" t="s">
        <v>4</v>
      </c>
      <c r="U8" s="365" t="s">
        <v>4</v>
      </c>
      <c r="V8" s="366" t="s">
        <v>63</v>
      </c>
      <c r="W8" s="367" t="s">
        <v>4</v>
      </c>
      <c r="X8" s="521"/>
      <c r="Y8" s="521" t="s">
        <v>100</v>
      </c>
      <c r="Z8" s="521"/>
      <c r="AA8" s="521" t="s">
        <v>74</v>
      </c>
      <c r="AB8" s="521" t="s">
        <v>100</v>
      </c>
      <c r="AC8" s="521" t="s">
        <v>100</v>
      </c>
      <c r="AD8" s="521" t="s">
        <v>100</v>
      </c>
      <c r="AE8" s="131"/>
    </row>
    <row r="9" spans="1:38" s="33" customFormat="1" ht="15" customHeight="1" x14ac:dyDescent="0.25">
      <c r="A9" s="337" t="s">
        <v>452</v>
      </c>
      <c r="B9" s="108" t="str">
        <f>IF($B$4="Substrates","",IF(ISBLANK($A9),"",VLOOKUP($B$4,'Substrates for various CYPs'!$C$2:$G$34,2,FALSE)))</f>
        <v/>
      </c>
      <c r="C9" s="108" t="str">
        <f>IF($B$4="Substrates","",IF(ISBLANK($A9),"",VLOOKUP($B$4,'Substrates for various CYPs'!$C$2:$G$34,3,FALSE)))</f>
        <v/>
      </c>
      <c r="D9" s="108" t="str">
        <f>IF($B$4="Substrates","",IF(ISBLANK($A9),"",VLOOKUP($B$4,'Substrates for various CYPs'!$C$2:$G$34,4,FALSE)))</f>
        <v/>
      </c>
      <c r="E9" s="108" t="str">
        <f>IF($B$4="Substrates","",IF(ISBLANK($A9),"",VLOOKUP($B$4,'Substrates for various CYPs'!$C$2:$G$34,5,FALSE)))</f>
        <v/>
      </c>
      <c r="F9" s="297" t="str">
        <f>IF($C$4="Inhibitors","",IF(ISBLANK($A9),"",VLOOKUP($C$4,'Inhibitors for various CYPs'!$C$2:$O$27,2,FALSE)))</f>
        <v/>
      </c>
      <c r="G9" s="298" t="str">
        <f>IF($C$4="Inhibitors","",IF(ISBLANK($A9),"",VLOOKUP($C$4,'Inhibitors for various CYPs'!$C$2:$O$27,3,FALSE)))</f>
        <v/>
      </c>
      <c r="H9" s="298" t="str">
        <f>IF($C$4="Inhibitors","",IF(ISBLANK($A9),"",VLOOKUP($C$4,'Inhibitors for various CYPs'!$C$2:$O$27,4,FALSE)))</f>
        <v/>
      </c>
      <c r="I9" s="298" t="str">
        <f>IF($C$4="Inhibitors","",IF(ISBLANK($A9),"",VLOOKUP($C$4,'Inhibitors for various CYPs'!$C$2:$O$27,5,FALSE)))</f>
        <v/>
      </c>
      <c r="J9" s="299" t="str">
        <f>IF($C$4="Inhibitors","",IF(ISBLANK($A9),"",VLOOKUP($C$4,'Inhibitors for various CYPs'!$C$2:$O$27,12,FALSE)))</f>
        <v/>
      </c>
      <c r="K9" s="300" t="str">
        <f>IF($C$4="Inhibitors","",IF(ISBLANK($A9),"",VLOOKUP($C$4,'Inhibitors for various CYPs'!$C$2:$O$27,6,FALSE)))</f>
        <v/>
      </c>
      <c r="L9" s="301" t="str">
        <f>IF($C$4="Inhibitors","",IF(ISBLANK($A9),"",VLOOKUP($C$4,'Inhibitors for various CYPs'!$C$2:$O$27,7,FALSE)))</f>
        <v/>
      </c>
      <c r="M9" s="302" t="e">
        <f>IF(ISBLANK($A9),"",(G9*K9*L9/('Enzymes-fm,CYP from rCYPs'!$U$6*F9))*1000000)</f>
        <v>#VALUE!</v>
      </c>
      <c r="N9" s="301" t="str">
        <f>IF($C$4="Inhibitors","",IF(ISBLANK($A9),"",VLOOKUP($C$4,'Inhibitors for various CYPs'!$C$2:$O$27,8,FALSE)))</f>
        <v/>
      </c>
      <c r="O9" s="303" t="str">
        <f>IF($C$4="Inhibitors","",IF(ISBLANK($A9),"",VLOOKUP($C$4,'Inhibitors for various CYPs'!$C$2:$O$27,9,FALSE)))</f>
        <v/>
      </c>
      <c r="P9" s="302" t="e">
        <f>IF(ISBLANK($A9),"",(G9*K9*L9*N9/('Enzymes-fm,CYP from rCYPs'!$U$7*F9))*1000000 +T9)</f>
        <v>#VALUE!</v>
      </c>
      <c r="Q9" s="304" t="str">
        <f>IF($C$4="Inhibitors","",IF(ISBLANK($A9),"",VLOOKUP($C$4,'Inhibitors for various CYPs'!$C$2:$O$27,10,FALSE)))</f>
        <v/>
      </c>
      <c r="R9" s="305" t="str">
        <f>IF($C$4="Inhibitors","",IF(ISBLANK($A9),"",VLOOKUP($C$4,'Inhibitors for various CYPs'!$C$2:$O$27,11,FALSE)))</f>
        <v/>
      </c>
      <c r="S9" s="59" t="e">
        <f>IF(ISBLANK($A9),"",T9*(R9*H9*60/(1-EXP(-R9*H9*60))))</f>
        <v>#VALUE!</v>
      </c>
      <c r="T9" s="190" t="e">
        <f>IF(ISBLANK($A9),"",(O9*G9/(Q9*H9*60*F9))*1000000)</f>
        <v>#VALUE!</v>
      </c>
      <c r="U9" s="173" t="str">
        <f>IF($C$4="Inhibitors","",IF(ISBLANK($A9),"",VLOOKUP($C$4,'Inhibitors for various CYPs'!$C$2:$O$27,13,FALSE)))</f>
        <v/>
      </c>
      <c r="V9" s="318" t="str">
        <f>IF($C$4="Inhibitors","",IF(ISBLANK($A9),"",VLOOKUP($C$4,'Inhibitors for various CYPs'!$C$2:$O$27,14,FALSE)))</f>
        <v/>
      </c>
      <c r="W9" s="295" t="str">
        <f>IF(OR($G9="",$G9&lt;=0,ISBLANK($A9)),"",IF($D$4 ="Isys",$T9*I9,IF($D$4 ="Imax",$S9*I9,IF($D$4 ="Iinlet",$P9*I9,""))))</f>
        <v/>
      </c>
      <c r="X9" s="167" t="str">
        <f>IF(OR($J9="",$J9&lt;=0),"",(B9/C9)*(1/(D9*E9/(1+(W9/J9))+(1-D9*E9))))</f>
        <v/>
      </c>
      <c r="Y9" s="335" t="e">
        <f>IF(ISBLANK($J9),"",1/($C9+((1-$C9)/(1+($M9/(J9))))))</f>
        <v>#VALUE!</v>
      </c>
      <c r="Z9" s="167" t="str">
        <f>IF(OR($J9="",$J9&lt;=0),"",$Y9*(1/($D9*$E9/(1+($W9/$J9))+(1-$D9*$E9))))</f>
        <v/>
      </c>
      <c r="AA9" s="167" t="str">
        <f>IF(OR(ISBLANK($A9),$V9="",$V9&lt;=0),"", (B9/C9)*(1/(E9*D9/(1+(V9*W9/('Enzymes-fm,CYP from rCYPs'!$Z$10*(U9+W9))))+(1-(E9*D9)))))</f>
        <v/>
      </c>
      <c r="AB9" s="168" t="e">
        <f>IF(ISBLANK($V9),"", (1/($E9*$D9/(1+($V9*$W9/('Enzymes-fm,CYP from rCYPs'!$Z$10*($U9+$W9))))+(1-($E9*$D9)))))</f>
        <v>#VALUE!</v>
      </c>
      <c r="AC9" s="335" t="e">
        <f>IF(ISBLANK($V9),"",1/(C9+((1-C9)/(1+(V9*M9/('Enzymes-fm,CYP from rCYPs'!$AC$10*(U9+M9)))))))</f>
        <v>#VALUE!</v>
      </c>
      <c r="AD9" s="168" t="str">
        <f>IF(OR(ISBLANK($A9),$V9="",$V9&lt;=0),"",AC9*AB9)</f>
        <v/>
      </c>
      <c r="AE9" s="370"/>
      <c r="AF9" s="2"/>
      <c r="AI9" s="2"/>
    </row>
    <row r="10" spans="1:38" ht="5.25" customHeight="1" x14ac:dyDescent="0.25">
      <c r="A10" s="206"/>
      <c r="B10" s="207"/>
      <c r="C10" s="207"/>
      <c r="D10" s="207"/>
      <c r="E10" s="207"/>
      <c r="F10" s="306"/>
      <c r="G10" s="307"/>
      <c r="H10" s="307"/>
      <c r="I10" s="307"/>
      <c r="J10" s="308"/>
      <c r="K10" s="309"/>
      <c r="L10" s="310"/>
      <c r="M10" s="311"/>
      <c r="N10" s="310"/>
      <c r="O10" s="312"/>
      <c r="P10" s="313"/>
      <c r="Q10" s="314"/>
      <c r="R10" s="315"/>
      <c r="S10" s="208"/>
      <c r="T10" s="368"/>
      <c r="U10" s="209"/>
      <c r="V10" s="210"/>
      <c r="W10" s="211"/>
      <c r="X10" s="212"/>
      <c r="Y10" s="212"/>
      <c r="Z10" s="212"/>
      <c r="AA10" s="212"/>
      <c r="AB10" s="212"/>
      <c r="AC10" s="369"/>
      <c r="AD10" s="257"/>
      <c r="AE10" s="371"/>
      <c r="AF10" s="2"/>
      <c r="AI10" s="2"/>
    </row>
    <row r="11" spans="1:38" ht="4.5" customHeight="1" x14ac:dyDescent="0.25">
      <c r="A11" s="213"/>
      <c r="B11" s="214"/>
      <c r="C11" s="214"/>
      <c r="D11" s="214"/>
      <c r="E11" s="214"/>
      <c r="F11" s="215"/>
      <c r="G11" s="204"/>
      <c r="H11" s="204"/>
      <c r="I11" s="204"/>
      <c r="J11" s="216"/>
      <c r="K11" s="216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77"/>
      <c r="Z11" s="216"/>
      <c r="AA11" s="216"/>
      <c r="AB11" s="217"/>
      <c r="AC11" s="218"/>
      <c r="AD11" s="218"/>
      <c r="AE11" s="218"/>
      <c r="AF11" s="218"/>
      <c r="AG11" s="218"/>
      <c r="AH11" s="218"/>
      <c r="AI11" s="2"/>
      <c r="AJ11" s="2"/>
      <c r="AK11" s="205"/>
      <c r="AL11" s="205"/>
    </row>
    <row r="12" spans="1:38" ht="3.75" customHeight="1" x14ac:dyDescent="0.25">
      <c r="A12" s="538"/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277"/>
      <c r="O12" s="277"/>
      <c r="P12" s="277"/>
      <c r="Q12" s="277"/>
      <c r="R12" s="277"/>
      <c r="S12" s="277"/>
      <c r="T12" s="277"/>
      <c r="U12" s="277"/>
      <c r="V12" s="277"/>
      <c r="W12" s="278"/>
      <c r="X12" s="296"/>
      <c r="Y12" s="2"/>
      <c r="Z12" s="205"/>
      <c r="AI12" s="2"/>
    </row>
    <row r="13" spans="1:38" ht="12" customHeight="1" x14ac:dyDescent="0.25">
      <c r="A13" s="539"/>
      <c r="B13" s="279"/>
      <c r="C13" s="221"/>
      <c r="D13" s="221"/>
      <c r="E13" s="221"/>
      <c r="F13" s="221"/>
      <c r="G13" s="243"/>
      <c r="H13" s="244"/>
      <c r="I13" s="244"/>
      <c r="J13" s="244"/>
      <c r="K13" s="244"/>
      <c r="L13" s="244"/>
      <c r="M13" s="245"/>
      <c r="N13" s="243"/>
      <c r="O13" s="244"/>
      <c r="P13" s="244"/>
      <c r="Q13" s="244"/>
      <c r="R13" s="244"/>
      <c r="S13" s="244"/>
      <c r="T13" s="244"/>
      <c r="U13" s="244"/>
      <c r="V13" s="244"/>
      <c r="W13" s="245"/>
      <c r="X13" s="201"/>
      <c r="Y13" s="2"/>
      <c r="Z13" s="205"/>
      <c r="AI13" s="2"/>
    </row>
    <row r="14" spans="1:38" ht="12" customHeight="1" x14ac:dyDescent="0.25">
      <c r="A14" s="203"/>
      <c r="B14" s="220"/>
      <c r="C14" s="224"/>
      <c r="D14" s="224"/>
      <c r="E14" s="224"/>
      <c r="F14" s="224"/>
      <c r="G14" s="246"/>
      <c r="H14" s="247"/>
      <c r="I14" s="247"/>
      <c r="J14" s="247"/>
      <c r="K14" s="247"/>
      <c r="L14" s="247"/>
      <c r="M14" s="248"/>
      <c r="N14" s="246"/>
      <c r="O14" s="247"/>
      <c r="P14" s="247"/>
      <c r="Q14" s="247"/>
      <c r="R14" s="247"/>
      <c r="S14" s="247"/>
      <c r="T14" s="247"/>
      <c r="U14" s="247"/>
      <c r="V14" s="247"/>
      <c r="W14" s="248"/>
      <c r="X14" s="201"/>
      <c r="Y14" s="2"/>
      <c r="Z14" s="205"/>
      <c r="AI14" s="2"/>
    </row>
    <row r="15" spans="1:38" ht="12" customHeight="1" x14ac:dyDescent="0.25">
      <c r="A15" s="540" t="s">
        <v>333</v>
      </c>
      <c r="B15" s="220"/>
      <c r="C15" s="224"/>
      <c r="D15" s="224"/>
      <c r="E15" s="224"/>
      <c r="F15" s="224"/>
      <c r="G15" s="246"/>
      <c r="H15" s="247"/>
      <c r="I15" s="247"/>
      <c r="J15" s="247"/>
      <c r="K15" s="247"/>
      <c r="L15" s="247"/>
      <c r="M15" s="248"/>
      <c r="N15" s="246"/>
      <c r="O15" s="247"/>
      <c r="P15" s="247"/>
      <c r="Q15" s="247"/>
      <c r="R15" s="247"/>
      <c r="S15" s="247"/>
      <c r="T15" s="247"/>
      <c r="U15" s="247"/>
      <c r="V15" s="247"/>
      <c r="W15" s="248"/>
      <c r="X15" s="201"/>
      <c r="Y15" s="2"/>
      <c r="Z15" s="205"/>
      <c r="AI15" s="2"/>
    </row>
    <row r="16" spans="1:38" ht="12" customHeight="1" x14ac:dyDescent="0.25">
      <c r="A16" s="540"/>
      <c r="B16" s="220"/>
      <c r="C16" s="224"/>
      <c r="D16" s="224"/>
      <c r="E16" s="224"/>
      <c r="F16" s="224"/>
      <c r="G16" s="246"/>
      <c r="H16" s="247"/>
      <c r="I16" s="247"/>
      <c r="J16" s="247"/>
      <c r="K16" s="247"/>
      <c r="L16" s="247"/>
      <c r="M16" s="248"/>
      <c r="N16" s="246"/>
      <c r="O16" s="247"/>
      <c r="P16" s="247"/>
      <c r="Q16" s="247"/>
      <c r="R16" s="247"/>
      <c r="S16" s="247"/>
      <c r="T16" s="247"/>
      <c r="U16" s="247"/>
      <c r="V16" s="247"/>
      <c r="W16" s="248"/>
      <c r="X16" s="201"/>
      <c r="Y16" s="2"/>
      <c r="Z16" s="205"/>
      <c r="AI16" s="2"/>
    </row>
    <row r="17" spans="1:35" ht="12" customHeight="1" x14ac:dyDescent="0.25">
      <c r="A17" s="203"/>
      <c r="B17" s="220"/>
      <c r="C17" s="224"/>
      <c r="D17" s="224"/>
      <c r="E17" s="224"/>
      <c r="F17" s="224"/>
      <c r="G17" s="246"/>
      <c r="H17" s="247"/>
      <c r="I17" s="247"/>
      <c r="J17" s="247"/>
      <c r="K17" s="247"/>
      <c r="L17" s="247"/>
      <c r="M17" s="248"/>
      <c r="N17" s="246"/>
      <c r="O17" s="247"/>
      <c r="P17" s="247"/>
      <c r="Q17" s="247"/>
      <c r="R17" s="247"/>
      <c r="S17" s="247"/>
      <c r="T17" s="247"/>
      <c r="U17" s="247"/>
      <c r="V17" s="247"/>
      <c r="W17" s="248"/>
      <c r="X17" s="201"/>
      <c r="Y17" s="2"/>
      <c r="Z17" s="205"/>
      <c r="AI17" s="2"/>
    </row>
    <row r="18" spans="1:35" ht="10.5" customHeight="1" x14ac:dyDescent="0.25">
      <c r="A18" s="203"/>
      <c r="B18" s="220"/>
      <c r="C18" s="224"/>
      <c r="D18" s="224"/>
      <c r="E18" s="224"/>
      <c r="F18" s="224"/>
      <c r="G18" s="246"/>
      <c r="H18" s="247"/>
      <c r="I18" s="247"/>
      <c r="J18" s="247"/>
      <c r="K18" s="247"/>
      <c r="L18" s="247"/>
      <c r="M18" s="248"/>
      <c r="N18" s="246"/>
      <c r="O18" s="247"/>
      <c r="P18" s="247"/>
      <c r="Q18" s="247"/>
      <c r="R18" s="247"/>
      <c r="S18" s="247"/>
      <c r="T18" s="247"/>
      <c r="U18" s="247"/>
      <c r="V18" s="247"/>
      <c r="W18" s="248"/>
      <c r="X18" s="201"/>
      <c r="Y18" s="2"/>
      <c r="Z18" s="205"/>
      <c r="AI18" s="2"/>
    </row>
    <row r="19" spans="1:35" ht="12" customHeight="1" x14ac:dyDescent="0.25">
      <c r="A19" s="203"/>
      <c r="B19" s="220"/>
      <c r="C19" s="224"/>
      <c r="D19" s="224"/>
      <c r="E19" s="224"/>
      <c r="F19" s="224"/>
      <c r="G19" s="246"/>
      <c r="H19" s="247"/>
      <c r="I19" s="247"/>
      <c r="J19" s="247"/>
      <c r="K19" s="247"/>
      <c r="L19" s="247"/>
      <c r="M19" s="248"/>
      <c r="N19" s="246"/>
      <c r="O19" s="247"/>
      <c r="P19" s="247"/>
      <c r="Q19" s="247"/>
      <c r="R19" s="247"/>
      <c r="S19" s="247"/>
      <c r="T19" s="247"/>
      <c r="U19" s="247"/>
      <c r="V19" s="247"/>
      <c r="W19" s="248"/>
      <c r="X19" s="201"/>
      <c r="Y19" s="2"/>
      <c r="Z19" s="205"/>
      <c r="AI19" s="2"/>
    </row>
    <row r="20" spans="1:35" ht="7.5" customHeight="1" x14ac:dyDescent="0.25">
      <c r="A20" s="203"/>
      <c r="B20" s="220"/>
      <c r="C20" s="224"/>
      <c r="D20" s="224"/>
      <c r="E20" s="224"/>
      <c r="F20" s="224"/>
      <c r="G20" s="246"/>
      <c r="H20" s="247"/>
      <c r="I20" s="247"/>
      <c r="J20" s="247"/>
      <c r="K20" s="247"/>
      <c r="L20" s="247"/>
      <c r="M20" s="248"/>
      <c r="N20" s="246"/>
      <c r="O20" s="247"/>
      <c r="P20" s="247"/>
      <c r="Q20" s="247"/>
      <c r="R20" s="247"/>
      <c r="S20" s="247"/>
      <c r="T20" s="247"/>
      <c r="U20" s="247"/>
      <c r="V20" s="247"/>
      <c r="W20" s="248"/>
      <c r="X20" s="201"/>
      <c r="Y20" s="2"/>
      <c r="Z20" s="205"/>
    </row>
    <row r="21" spans="1:35" ht="12" customHeight="1" x14ac:dyDescent="0.25">
      <c r="A21" s="203"/>
      <c r="B21" s="220"/>
      <c r="C21" s="224"/>
      <c r="D21" s="224"/>
      <c r="E21" s="224"/>
      <c r="F21" s="224"/>
      <c r="G21" s="246"/>
      <c r="H21" s="247"/>
      <c r="I21" s="247"/>
      <c r="J21" s="247"/>
      <c r="K21" s="247"/>
      <c r="L21" s="247"/>
      <c r="M21" s="248"/>
      <c r="N21" s="246"/>
      <c r="O21" s="247"/>
      <c r="P21" s="247"/>
      <c r="Q21" s="247"/>
      <c r="R21" s="247"/>
      <c r="S21" s="247"/>
      <c r="T21" s="247"/>
      <c r="U21" s="247"/>
      <c r="V21" s="247"/>
      <c r="W21" s="248"/>
      <c r="X21" s="201"/>
      <c r="Y21" s="2"/>
      <c r="Z21" s="205"/>
    </row>
    <row r="22" spans="1:35" ht="12" customHeight="1" x14ac:dyDescent="0.25">
      <c r="A22" s="203"/>
      <c r="B22" s="220"/>
      <c r="C22" s="224"/>
      <c r="D22" s="224"/>
      <c r="E22" s="224"/>
      <c r="F22" s="224"/>
      <c r="G22" s="246"/>
      <c r="H22" s="247"/>
      <c r="I22" s="247"/>
      <c r="J22" s="247"/>
      <c r="K22" s="247"/>
      <c r="L22" s="247"/>
      <c r="M22" s="248"/>
      <c r="N22" s="246"/>
      <c r="O22" s="247"/>
      <c r="P22" s="247"/>
      <c r="Q22" s="247"/>
      <c r="R22" s="247"/>
      <c r="S22" s="247"/>
      <c r="T22" s="247"/>
      <c r="U22" s="247"/>
      <c r="V22" s="247"/>
      <c r="W22" s="248"/>
      <c r="X22" s="233"/>
      <c r="Y22" s="2"/>
    </row>
    <row r="23" spans="1:35" ht="12" customHeight="1" x14ac:dyDescent="0.25">
      <c r="A23" s="203"/>
      <c r="B23" s="220"/>
      <c r="C23" s="224"/>
      <c r="D23" s="224"/>
      <c r="E23" s="224"/>
      <c r="F23" s="224"/>
      <c r="G23" s="246"/>
      <c r="H23" s="247"/>
      <c r="I23" s="247"/>
      <c r="J23" s="247"/>
      <c r="K23" s="247"/>
      <c r="L23" s="247"/>
      <c r="M23" s="248"/>
      <c r="N23" s="246"/>
      <c r="O23" s="247"/>
      <c r="P23" s="247"/>
      <c r="Q23" s="247"/>
      <c r="R23" s="247"/>
      <c r="S23" s="247"/>
      <c r="T23" s="247"/>
      <c r="U23" s="247"/>
      <c r="V23" s="247"/>
      <c r="W23" s="248"/>
      <c r="X23" s="235"/>
      <c r="Y23" s="2"/>
    </row>
    <row r="24" spans="1:35" ht="7.5" customHeight="1" x14ac:dyDescent="0.25">
      <c r="A24" s="203"/>
      <c r="B24" s="220"/>
      <c r="C24" s="224"/>
      <c r="D24" s="224"/>
      <c r="E24" s="224"/>
      <c r="F24" s="224"/>
      <c r="G24" s="246"/>
      <c r="H24" s="247"/>
      <c r="I24" s="247"/>
      <c r="J24" s="247"/>
      <c r="K24" s="247"/>
      <c r="L24" s="247"/>
      <c r="M24" s="248"/>
      <c r="N24" s="246"/>
      <c r="O24" s="247"/>
      <c r="P24" s="247"/>
      <c r="Q24" s="247"/>
      <c r="R24" s="247"/>
      <c r="S24" s="247"/>
      <c r="T24" s="247"/>
      <c r="U24" s="247"/>
      <c r="V24" s="247"/>
      <c r="W24" s="248"/>
      <c r="X24" s="201"/>
      <c r="Y24" s="2"/>
    </row>
    <row r="25" spans="1:35" ht="12" customHeight="1" x14ac:dyDescent="0.25">
      <c r="A25" s="236"/>
      <c r="B25" s="220"/>
      <c r="C25" s="224"/>
      <c r="D25" s="224"/>
      <c r="E25" s="224"/>
      <c r="F25" s="224"/>
      <c r="G25" s="246"/>
      <c r="H25" s="247"/>
      <c r="I25" s="247"/>
      <c r="J25" s="247"/>
      <c r="K25" s="247"/>
      <c r="L25" s="247"/>
      <c r="M25" s="248"/>
      <c r="N25" s="246"/>
      <c r="O25" s="247"/>
      <c r="P25" s="247"/>
      <c r="Q25" s="247"/>
      <c r="R25" s="247"/>
      <c r="S25" s="247"/>
      <c r="T25" s="247"/>
      <c r="U25" s="247"/>
      <c r="V25" s="247"/>
      <c r="W25" s="248"/>
      <c r="X25" s="201"/>
    </row>
    <row r="26" spans="1:35" ht="12" customHeight="1" x14ac:dyDescent="0.25">
      <c r="A26" s="237"/>
      <c r="B26" s="238"/>
      <c r="C26" s="526" t="s">
        <v>342</v>
      </c>
      <c r="D26" s="526" t="s">
        <v>325</v>
      </c>
      <c r="E26" s="224"/>
      <c r="F26" s="239"/>
      <c r="G26" s="246"/>
      <c r="H26" s="247"/>
      <c r="I26" s="247"/>
      <c r="J26" s="530" t="s">
        <v>351</v>
      </c>
      <c r="K26" s="526" t="s">
        <v>325</v>
      </c>
      <c r="L26" s="247"/>
      <c r="M26" s="248"/>
      <c r="N26" s="246"/>
      <c r="O26" s="247"/>
      <c r="P26" s="247"/>
      <c r="Q26" s="530" t="s">
        <v>350</v>
      </c>
      <c r="R26" s="341"/>
      <c r="S26" s="341"/>
      <c r="T26" s="341"/>
      <c r="U26" s="341"/>
      <c r="V26" s="526" t="s">
        <v>325</v>
      </c>
      <c r="W26" s="248"/>
      <c r="X26" s="201"/>
    </row>
    <row r="27" spans="1:35" ht="12" customHeight="1" x14ac:dyDescent="0.25">
      <c r="A27" s="203"/>
      <c r="B27" s="220"/>
      <c r="C27" s="527"/>
      <c r="D27" s="527"/>
      <c r="E27" s="224"/>
      <c r="F27" s="224"/>
      <c r="G27" s="246"/>
      <c r="H27" s="247"/>
      <c r="I27" s="247"/>
      <c r="J27" s="531"/>
      <c r="K27" s="527"/>
      <c r="L27" s="247"/>
      <c r="M27" s="248"/>
      <c r="N27" s="246"/>
      <c r="O27" s="247"/>
      <c r="P27" s="247"/>
      <c r="Q27" s="531"/>
      <c r="R27" s="342"/>
      <c r="S27" s="342"/>
      <c r="T27" s="342"/>
      <c r="U27" s="342"/>
      <c r="V27" s="527"/>
      <c r="W27" s="248"/>
      <c r="X27" s="201"/>
    </row>
    <row r="28" spans="1:35" ht="12" customHeight="1" x14ac:dyDescent="0.25">
      <c r="A28" s="203"/>
      <c r="B28" s="220"/>
      <c r="C28" s="273" t="e">
        <f>IF(ISBLANK($A$9),"",($W$9/$J$9)*10^(H50-5))</f>
        <v>#VALUE!</v>
      </c>
      <c r="D28" s="240" t="e">
        <f>IF(ISBLANK($A$9),"",($B$9/$C$9)*(1/($D$9*$E$9/(1+(($W$9/$J$9)*10^(H50-5)))+(1-$D$9*$E$9))))</f>
        <v>#VALUE!</v>
      </c>
      <c r="E28" s="224"/>
      <c r="F28" s="224"/>
      <c r="G28" s="246"/>
      <c r="H28" s="247"/>
      <c r="I28" s="247"/>
      <c r="J28" s="319">
        <f>IF(ISBLANK($A$9),"",H64/10)</f>
        <v>0</v>
      </c>
      <c r="K28" s="240" t="e">
        <f>IF(ISBLANK($A$9),"",($B$9/$C$9)*(1/(J28/(1+($W$9/$J$9))+(1-J28))))</f>
        <v>#VALUE!</v>
      </c>
      <c r="L28" s="247"/>
      <c r="M28" s="248"/>
      <c r="N28" s="246"/>
      <c r="O28" s="247"/>
      <c r="P28" s="247"/>
      <c r="Q28" s="252">
        <f>IF(ISBLANK($A$9),"",10^((H78/20)-3))</f>
        <v>1.1220184543019622E-3</v>
      </c>
      <c r="R28" s="252"/>
      <c r="S28" s="252"/>
      <c r="T28" s="252"/>
      <c r="U28" s="252"/>
      <c r="V28" s="240" t="e">
        <f>IF(ISBLANK($A$9),"",Q28*(1/($D$9*$E$9/(1+($W$9/$J$9))+(1-$D$9*$E$9))))</f>
        <v>#VALUE!</v>
      </c>
      <c r="W28" s="248"/>
      <c r="X28" s="201"/>
    </row>
    <row r="29" spans="1:35" ht="6.75" customHeight="1" x14ac:dyDescent="0.25">
      <c r="A29" s="203"/>
      <c r="B29" s="280"/>
      <c r="C29" s="281"/>
      <c r="D29" s="281"/>
      <c r="E29" s="281"/>
      <c r="F29" s="281"/>
      <c r="G29" s="246"/>
      <c r="H29" s="247"/>
      <c r="I29" s="247"/>
      <c r="J29" s="247"/>
      <c r="K29" s="247"/>
      <c r="L29" s="247"/>
      <c r="M29" s="248"/>
      <c r="N29" s="246"/>
      <c r="O29" s="247"/>
      <c r="P29" s="247"/>
      <c r="Q29" s="247"/>
      <c r="R29" s="247"/>
      <c r="S29" s="247"/>
      <c r="T29" s="247"/>
      <c r="U29" s="247"/>
      <c r="V29" s="247"/>
      <c r="W29" s="248"/>
      <c r="X29" s="201"/>
    </row>
    <row r="30" spans="1:35" ht="4.5" customHeight="1" x14ac:dyDescent="0.25">
      <c r="A30" s="203"/>
      <c r="B30" s="274"/>
      <c r="C30" s="222"/>
      <c r="D30" s="222"/>
      <c r="E30" s="222"/>
      <c r="F30" s="222"/>
      <c r="G30" s="274"/>
      <c r="H30" s="222"/>
      <c r="I30" s="222"/>
      <c r="J30" s="222"/>
      <c r="K30" s="222"/>
      <c r="L30" s="223"/>
      <c r="M30" s="225"/>
      <c r="N30" s="274"/>
      <c r="O30" s="222"/>
      <c r="P30" s="222"/>
      <c r="Q30" s="222"/>
      <c r="R30" s="222"/>
      <c r="S30" s="222"/>
      <c r="T30" s="222"/>
      <c r="U30" s="222"/>
      <c r="V30" s="222"/>
      <c r="W30" s="223"/>
      <c r="X30" s="201"/>
    </row>
    <row r="31" spans="1:35" ht="12.75" customHeight="1" x14ac:dyDescent="0.25">
      <c r="A31" s="203"/>
      <c r="B31" s="275"/>
      <c r="C31" s="225"/>
      <c r="D31" s="225"/>
      <c r="E31" s="225"/>
      <c r="F31" s="225"/>
      <c r="G31" s="275"/>
      <c r="H31" s="225"/>
      <c r="I31" s="225"/>
      <c r="J31" s="225"/>
      <c r="K31" s="225"/>
      <c r="L31" s="226"/>
      <c r="M31" s="225"/>
      <c r="N31" s="275"/>
      <c r="O31" s="225"/>
      <c r="P31" s="225"/>
      <c r="Q31" s="225"/>
      <c r="R31" s="225"/>
      <c r="S31" s="225"/>
      <c r="T31" s="225"/>
      <c r="U31" s="225"/>
      <c r="V31" s="225"/>
      <c r="W31" s="226"/>
      <c r="X31" s="201"/>
    </row>
    <row r="32" spans="1:35" ht="12.75" customHeight="1" x14ac:dyDescent="0.25">
      <c r="A32" s="203"/>
      <c r="B32" s="275"/>
      <c r="C32" s="225"/>
      <c r="D32" s="225"/>
      <c r="E32" s="225"/>
      <c r="F32" s="225"/>
      <c r="G32" s="275"/>
      <c r="H32" s="225"/>
      <c r="I32" s="225"/>
      <c r="J32" s="225"/>
      <c r="K32" s="225"/>
      <c r="L32" s="226"/>
      <c r="M32" s="225"/>
      <c r="N32" s="275"/>
      <c r="O32" s="225"/>
      <c r="P32" s="225"/>
      <c r="Q32" s="225"/>
      <c r="R32" s="225"/>
      <c r="S32" s="225"/>
      <c r="T32" s="225"/>
      <c r="U32" s="225"/>
      <c r="V32" s="225"/>
      <c r="W32" s="226"/>
      <c r="X32" s="201"/>
    </row>
    <row r="33" spans="1:24" ht="12.75" customHeight="1" x14ac:dyDescent="0.25">
      <c r="A33" s="203"/>
      <c r="B33" s="275"/>
      <c r="C33" s="225"/>
      <c r="D33" s="225"/>
      <c r="E33" s="225"/>
      <c r="F33" s="225"/>
      <c r="G33" s="275"/>
      <c r="H33" s="225"/>
      <c r="I33" s="225"/>
      <c r="J33" s="225"/>
      <c r="K33" s="225"/>
      <c r="L33" s="226"/>
      <c r="M33" s="225"/>
      <c r="N33" s="275"/>
      <c r="O33" s="225"/>
      <c r="P33" s="225"/>
      <c r="Q33" s="225"/>
      <c r="R33" s="225"/>
      <c r="S33" s="225"/>
      <c r="T33" s="225"/>
      <c r="U33" s="225"/>
      <c r="V33" s="225"/>
      <c r="W33" s="226"/>
      <c r="X33" s="201"/>
    </row>
    <row r="34" spans="1:24" ht="12.75" customHeight="1" x14ac:dyDescent="0.25">
      <c r="A34" s="203"/>
      <c r="B34" s="275"/>
      <c r="C34" s="225"/>
      <c r="D34" s="225"/>
      <c r="E34" s="225"/>
      <c r="F34" s="225"/>
      <c r="G34" s="275"/>
      <c r="H34" s="225"/>
      <c r="I34" s="225"/>
      <c r="J34" s="225"/>
      <c r="K34" s="225"/>
      <c r="L34" s="226"/>
      <c r="M34" s="225"/>
      <c r="N34" s="275"/>
      <c r="O34" s="225"/>
      <c r="P34" s="225"/>
      <c r="Q34" s="225"/>
      <c r="R34" s="225"/>
      <c r="S34" s="225"/>
      <c r="T34" s="225"/>
      <c r="U34" s="225"/>
      <c r="V34" s="225"/>
      <c r="W34" s="226"/>
      <c r="X34" s="201"/>
    </row>
    <row r="35" spans="1:24" ht="7.5" customHeight="1" x14ac:dyDescent="0.25">
      <c r="A35" s="203"/>
      <c r="B35" s="275"/>
      <c r="C35" s="225"/>
      <c r="D35" s="225"/>
      <c r="E35" s="225"/>
      <c r="F35" s="225"/>
      <c r="G35" s="275"/>
      <c r="H35" s="225"/>
      <c r="I35" s="225"/>
      <c r="J35" s="225"/>
      <c r="K35" s="225"/>
      <c r="L35" s="226"/>
      <c r="M35" s="225"/>
      <c r="N35" s="275"/>
      <c r="O35" s="225"/>
      <c r="P35" s="225"/>
      <c r="Q35" s="225"/>
      <c r="R35" s="225"/>
      <c r="S35" s="225"/>
      <c r="T35" s="225"/>
      <c r="U35" s="225"/>
      <c r="V35" s="225"/>
      <c r="W35" s="226"/>
      <c r="X35" s="201"/>
    </row>
    <row r="36" spans="1:24" ht="7.5" customHeight="1" x14ac:dyDescent="0.25">
      <c r="A36" s="203"/>
      <c r="B36" s="275"/>
      <c r="C36" s="225"/>
      <c r="D36" s="225"/>
      <c r="E36" s="225"/>
      <c r="F36" s="225"/>
      <c r="G36" s="275"/>
      <c r="H36" s="225"/>
      <c r="I36" s="225"/>
      <c r="J36" s="225"/>
      <c r="K36" s="225"/>
      <c r="L36" s="226"/>
      <c r="M36" s="225"/>
      <c r="N36" s="275"/>
      <c r="O36" s="225"/>
      <c r="P36" s="225"/>
      <c r="Q36" s="225"/>
      <c r="R36" s="225"/>
      <c r="S36" s="225"/>
      <c r="T36" s="225"/>
      <c r="U36" s="225"/>
      <c r="V36" s="225"/>
      <c r="W36" s="226"/>
      <c r="X36" s="201"/>
    </row>
    <row r="37" spans="1:24" ht="7.5" customHeight="1" x14ac:dyDescent="0.25">
      <c r="A37" s="203"/>
      <c r="B37" s="275"/>
      <c r="C37" s="225"/>
      <c r="D37" s="225"/>
      <c r="E37" s="225"/>
      <c r="F37" s="225"/>
      <c r="G37" s="275"/>
      <c r="H37" s="225"/>
      <c r="I37" s="225"/>
      <c r="J37" s="225"/>
      <c r="K37" s="225"/>
      <c r="L37" s="226"/>
      <c r="M37" s="225"/>
      <c r="N37" s="275"/>
      <c r="O37" s="225"/>
      <c r="P37" s="225"/>
      <c r="Q37" s="225"/>
      <c r="R37" s="225"/>
      <c r="S37" s="225"/>
      <c r="T37" s="225"/>
      <c r="U37" s="225"/>
      <c r="V37" s="225"/>
      <c r="W37" s="226"/>
      <c r="X37" s="201"/>
    </row>
    <row r="38" spans="1:24" ht="7.5" customHeight="1" x14ac:dyDescent="0.25">
      <c r="A38" s="203"/>
      <c r="B38" s="275"/>
      <c r="C38" s="225"/>
      <c r="D38" s="225"/>
      <c r="E38" s="225"/>
      <c r="F38" s="225"/>
      <c r="G38" s="275"/>
      <c r="H38" s="225"/>
      <c r="I38" s="225"/>
      <c r="J38" s="225"/>
      <c r="K38" s="225"/>
      <c r="L38" s="226"/>
      <c r="M38" s="225"/>
      <c r="N38" s="275"/>
      <c r="O38" s="225"/>
      <c r="P38" s="225"/>
      <c r="Q38" s="225"/>
      <c r="R38" s="225"/>
      <c r="S38" s="225"/>
      <c r="T38" s="225"/>
      <c r="U38" s="225"/>
      <c r="V38" s="225"/>
      <c r="W38" s="226"/>
      <c r="X38" s="201"/>
    </row>
    <row r="39" spans="1:24" ht="7.5" customHeight="1" x14ac:dyDescent="0.25">
      <c r="A39" s="203"/>
      <c r="B39" s="275"/>
      <c r="C39" s="225"/>
      <c r="D39" s="225"/>
      <c r="E39" s="225"/>
      <c r="F39" s="225"/>
      <c r="G39" s="275"/>
      <c r="H39" s="225"/>
      <c r="I39" s="225"/>
      <c r="J39" s="225"/>
      <c r="K39" s="225"/>
      <c r="L39" s="226"/>
      <c r="M39" s="225"/>
      <c r="N39" s="275"/>
      <c r="O39" s="225"/>
      <c r="P39" s="225"/>
      <c r="Q39" s="225"/>
      <c r="R39" s="225"/>
      <c r="S39" s="225"/>
      <c r="T39" s="225"/>
      <c r="U39" s="225"/>
      <c r="V39" s="225"/>
      <c r="W39" s="226"/>
      <c r="X39" s="201"/>
    </row>
    <row r="40" spans="1:24" ht="12.75" customHeight="1" x14ac:dyDescent="0.25">
      <c r="A40" s="203"/>
      <c r="B40" s="275"/>
      <c r="C40" s="225"/>
      <c r="D40" s="225"/>
      <c r="E40" s="225"/>
      <c r="F40" s="225"/>
      <c r="G40" s="275"/>
      <c r="H40" s="225"/>
      <c r="I40" s="225"/>
      <c r="J40" s="225"/>
      <c r="K40" s="225"/>
      <c r="L40" s="226"/>
      <c r="M40" s="225"/>
      <c r="N40" s="275"/>
      <c r="O40" s="225"/>
      <c r="P40" s="225"/>
      <c r="Q40" s="225"/>
      <c r="R40" s="225"/>
      <c r="S40" s="225"/>
      <c r="T40" s="225"/>
      <c r="U40" s="225"/>
      <c r="V40" s="225"/>
      <c r="W40" s="226"/>
      <c r="X40" s="201"/>
    </row>
    <row r="41" spans="1:24" ht="10.5" customHeight="1" x14ac:dyDescent="0.25">
      <c r="A41" s="203"/>
      <c r="B41" s="275"/>
      <c r="C41" s="225"/>
      <c r="D41" s="225"/>
      <c r="E41" s="225"/>
      <c r="F41" s="225"/>
      <c r="G41" s="275"/>
      <c r="H41" s="225"/>
      <c r="I41" s="225"/>
      <c r="J41" s="225"/>
      <c r="K41" s="225"/>
      <c r="L41" s="226"/>
      <c r="M41" s="225"/>
      <c r="N41" s="275"/>
      <c r="O41" s="225"/>
      <c r="P41" s="225"/>
      <c r="Q41" s="225"/>
      <c r="R41" s="225"/>
      <c r="S41" s="225"/>
      <c r="T41" s="225"/>
      <c r="U41" s="225"/>
      <c r="V41" s="225"/>
      <c r="W41" s="226"/>
      <c r="X41" s="201"/>
    </row>
    <row r="42" spans="1:24" ht="12.75" customHeight="1" x14ac:dyDescent="0.25">
      <c r="A42" s="203"/>
      <c r="B42" s="275"/>
      <c r="C42" s="225"/>
      <c r="D42" s="225"/>
      <c r="E42" s="225"/>
      <c r="F42" s="225"/>
      <c r="G42" s="275"/>
      <c r="H42" s="225"/>
      <c r="I42" s="225"/>
      <c r="J42" s="225"/>
      <c r="K42" s="225"/>
      <c r="L42" s="226"/>
      <c r="M42" s="225"/>
      <c r="N42" s="275"/>
      <c r="O42" s="225"/>
      <c r="P42" s="225"/>
      <c r="Q42" s="225"/>
      <c r="R42" s="225"/>
      <c r="S42" s="225"/>
      <c r="T42" s="225"/>
      <c r="U42" s="225"/>
      <c r="V42" s="225"/>
      <c r="W42" s="226"/>
      <c r="X42" s="201"/>
    </row>
    <row r="43" spans="1:24" ht="12.75" customHeight="1" x14ac:dyDescent="0.25">
      <c r="A43" s="203"/>
      <c r="B43" s="275"/>
      <c r="C43" s="526" t="s">
        <v>353</v>
      </c>
      <c r="D43" s="541" t="s">
        <v>325</v>
      </c>
      <c r="E43" s="225"/>
      <c r="F43" s="225"/>
      <c r="G43" s="275"/>
      <c r="H43" s="225"/>
      <c r="I43" s="225"/>
      <c r="J43" s="526" t="s">
        <v>346</v>
      </c>
      <c r="K43" s="526" t="s">
        <v>325</v>
      </c>
      <c r="L43" s="226"/>
      <c r="M43" s="225"/>
      <c r="N43" s="275"/>
      <c r="O43" s="225"/>
      <c r="P43" s="225"/>
      <c r="Q43" s="526" t="s">
        <v>352</v>
      </c>
      <c r="R43" s="339"/>
      <c r="S43" s="339"/>
      <c r="T43" s="339"/>
      <c r="U43" s="339"/>
      <c r="V43" s="526" t="s">
        <v>325</v>
      </c>
      <c r="W43" s="226"/>
      <c r="X43" s="201"/>
    </row>
    <row r="44" spans="1:24" ht="12.75" customHeight="1" x14ac:dyDescent="0.25">
      <c r="A44" s="203"/>
      <c r="B44" s="275"/>
      <c r="C44" s="527"/>
      <c r="D44" s="542"/>
      <c r="E44" s="225"/>
      <c r="F44" s="225"/>
      <c r="G44" s="275"/>
      <c r="H44" s="225"/>
      <c r="I44" s="225"/>
      <c r="J44" s="527"/>
      <c r="K44" s="527"/>
      <c r="L44" s="226"/>
      <c r="M44" s="225"/>
      <c r="N44" s="275"/>
      <c r="O44" s="225"/>
      <c r="P44" s="225"/>
      <c r="Q44" s="527"/>
      <c r="R44" s="340"/>
      <c r="S44" s="340"/>
      <c r="T44" s="340"/>
      <c r="U44" s="340"/>
      <c r="V44" s="527"/>
      <c r="W44" s="226"/>
      <c r="X44" s="201"/>
    </row>
    <row r="45" spans="1:24" ht="10.5" customHeight="1" x14ac:dyDescent="0.25">
      <c r="A45" s="203"/>
      <c r="B45" s="275"/>
      <c r="C45" s="241">
        <f>IF(ISBLANK($A$9),"",10^((K50-16)/8))</f>
        <v>0.01</v>
      </c>
      <c r="D45" s="230" t="e">
        <f>IF(ISBLANK($A$9),"", ($B$9/$C$9)*(1/($E$9*$D$9/(1+(C45*$W$9/('Enzymes-fm,CYP from rCYPs'!$Z$10*($U$9+$W$9))))+(1-($E$9*$D$9)))))</f>
        <v>#VALUE!</v>
      </c>
      <c r="E45" s="225"/>
      <c r="F45" s="225"/>
      <c r="G45" s="275"/>
      <c r="H45" s="225"/>
      <c r="I45" s="225"/>
      <c r="J45" s="252">
        <f>IF(ISBLANK($A$9),"",10^((K69/2)-3))</f>
        <v>1E-3</v>
      </c>
      <c r="K45" s="230" t="e">
        <f>IF(ISBLANK($A$9),"", ($B$9/$C$9)*(1/($E$9*$D$9/(1+($V9*$W$9/('Enzymes-fm,CYP from rCYPs'!$Z$10*(J45+$W$9))))+(1-($E$9*$D$9)))))</f>
        <v>#VALUE!</v>
      </c>
      <c r="L45" s="226"/>
      <c r="M45" s="225"/>
      <c r="N45" s="275"/>
      <c r="O45" s="225"/>
      <c r="P45" s="225"/>
      <c r="Q45" s="252">
        <f>IF(ISBLANK($A$9),"",10^((K85-4)))</f>
        <v>1E-4</v>
      </c>
      <c r="R45" s="252"/>
      <c r="S45" s="252"/>
      <c r="T45" s="252"/>
      <c r="U45" s="252"/>
      <c r="V45" s="230" t="e">
        <f>IF(ISBLANK($A$9),"", ($B$9/$C$9)*(1/($E$9*$D$9/(1+($V$9*Q45/('Enzymes-fm,CYP from rCYPs'!$Z$10*($U$9+Q45))))+(1-($E$9*$D$9)))))</f>
        <v>#VALUE!</v>
      </c>
      <c r="W45" s="226"/>
      <c r="X45" s="201"/>
    </row>
    <row r="46" spans="1:24" ht="9" customHeight="1" x14ac:dyDescent="0.25">
      <c r="A46" s="203"/>
      <c r="B46" s="276"/>
      <c r="C46" s="253"/>
      <c r="D46" s="253"/>
      <c r="E46" s="253"/>
      <c r="F46" s="253"/>
      <c r="G46" s="276"/>
      <c r="H46" s="253"/>
      <c r="I46" s="253"/>
      <c r="J46" s="253"/>
      <c r="K46" s="253"/>
      <c r="L46" s="254"/>
      <c r="M46" s="253"/>
      <c r="N46" s="276"/>
      <c r="O46" s="253"/>
      <c r="P46" s="253"/>
      <c r="Q46" s="253"/>
      <c r="R46" s="253"/>
      <c r="S46" s="253"/>
      <c r="T46" s="253"/>
      <c r="U46" s="253"/>
      <c r="V46" s="253"/>
      <c r="W46" s="254"/>
      <c r="X46" s="201"/>
    </row>
    <row r="47" spans="1:24" ht="12.75" customHeight="1" x14ac:dyDescent="0.25">
      <c r="A47" s="255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7"/>
    </row>
    <row r="48" spans="1:24" ht="5.25" customHeight="1" x14ac:dyDescent="0.25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</row>
    <row r="49" spans="1:26" ht="22.5" customHeight="1" x14ac:dyDescent="0.25">
      <c r="A49" s="251" t="s">
        <v>262</v>
      </c>
      <c r="B49" s="523" t="s">
        <v>265</v>
      </c>
      <c r="C49" s="524"/>
      <c r="D49" s="525"/>
      <c r="E49" s="258"/>
      <c r="F49" s="219"/>
      <c r="G49" s="532" t="s">
        <v>329</v>
      </c>
      <c r="H49" s="532"/>
      <c r="I49" s="194"/>
      <c r="J49" s="537" t="s">
        <v>258</v>
      </c>
      <c r="K49" s="537"/>
      <c r="L49" s="196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</row>
    <row r="50" spans="1:26" ht="12.75" customHeight="1" x14ac:dyDescent="0.35">
      <c r="A50" s="259" t="str">
        <f>CONCATENATE('Inhibitors for various CYPs'!A2," (",'Inhibitors for various CYPs'!B2,")")</f>
        <v>Ketoconazole (CYP2C8)</v>
      </c>
      <c r="B50" s="259" t="str">
        <f>CONCATENATE('Substrates for various CYPs'!A2," (",'Substrates for various CYPs'!B2,")")</f>
        <v>Alprazolam (CYP3A4)</v>
      </c>
      <c r="C50" s="204"/>
      <c r="D50" s="233"/>
      <c r="E50" s="258"/>
      <c r="F50" s="203"/>
      <c r="G50" s="200" t="s">
        <v>339</v>
      </c>
      <c r="H50" s="204">
        <v>0</v>
      </c>
      <c r="I50" s="200"/>
      <c r="J50" s="200" t="s">
        <v>340</v>
      </c>
      <c r="K50" s="204">
        <v>0</v>
      </c>
      <c r="L50" s="201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</row>
    <row r="51" spans="1:26" ht="12.75" customHeight="1" x14ac:dyDescent="0.25">
      <c r="A51" s="259" t="str">
        <f>CONCATENATE('Inhibitors for various CYPs'!A3," (",'Inhibitors for various CYPs'!B3,")")</f>
        <v>Ketoconazole (CYP3A4)</v>
      </c>
      <c r="B51" s="259" t="str">
        <f>CONCATENATE('Substrates for various CYPs'!A3," (",'Substrates for various CYPs'!B3,")")</f>
        <v>Buspirone (CYP3A4)</v>
      </c>
      <c r="C51" s="204"/>
      <c r="D51" s="233"/>
      <c r="E51" s="258"/>
      <c r="F51" s="203"/>
      <c r="G51" s="227" t="s">
        <v>341</v>
      </c>
      <c r="H51" s="228" t="s">
        <v>325</v>
      </c>
      <c r="I51" s="200"/>
      <c r="J51" s="227" t="s">
        <v>338</v>
      </c>
      <c r="K51" s="228" t="s">
        <v>325</v>
      </c>
      <c r="L51" s="201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</row>
    <row r="52" spans="1:26" ht="12.75" customHeight="1" x14ac:dyDescent="0.25">
      <c r="A52" s="259" t="str">
        <f>CONCATENATE('Inhibitors for various CYPs'!A4," (",'Inhibitors for various CYPs'!B4,")")</f>
        <v>Ketoconazole (CYP3A5)</v>
      </c>
      <c r="B52" s="259" t="str">
        <f>CONCATENATE('Substrates for various CYPs'!A4," (",'Substrates for various CYPs'!B4,")")</f>
        <v>Cyclosporine (CYP3A4)</v>
      </c>
      <c r="C52" s="204"/>
      <c r="D52" s="233"/>
      <c r="E52" s="258"/>
      <c r="F52" s="229">
        <v>-5</v>
      </c>
      <c r="G52" s="282" t="e">
        <f t="shared" ref="G52:G62" si="0">IF(ISBLANK($A$9),"",($W$9/$J$9)*10^(F52))</f>
        <v>#VALUE!</v>
      </c>
      <c r="H52" s="230" t="e">
        <f>IF(ISBLANK($A$9),"",($B$9/$C$9)*(1/($D$9*$E$9/(1+((G52)))+(1-$D$9*$E$9))))</f>
        <v>#VALUE!</v>
      </c>
      <c r="I52" s="200">
        <v>16</v>
      </c>
      <c r="J52" s="231">
        <f t="shared" ref="J52:J68" si="1">IF(ISBLANK($A$9),"",10^((-I52)/8))</f>
        <v>0.01</v>
      </c>
      <c r="K52" s="230" t="e">
        <f>IF(ISBLANK($A$9),"", ($B$9/$C$9)*(1/($E$9*$D$9/(1+(J52*$W$9/('Enzymes-fm,CYP from rCYPs'!$Z$10*($U$9+$W$9))))+(1-($E$9*$D$9)))))</f>
        <v>#VALUE!</v>
      </c>
      <c r="L52" s="201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spans="1:26" ht="12.75" customHeight="1" x14ac:dyDescent="0.25">
      <c r="A53" s="259" t="str">
        <f>CONCATENATE('Inhibitors for various CYPs'!A5," (",'Inhibitors for various CYPs'!B5,")")</f>
        <v>Itraconazole (CYP3A4)</v>
      </c>
      <c r="B53" s="259" t="str">
        <f>CONCATENATE('Substrates for various CYPs'!A5," (",'Substrates for various CYPs'!B5,")")</f>
        <v>Felodipine (CYP3A4)</v>
      </c>
      <c r="C53" s="204"/>
      <c r="D53" s="233"/>
      <c r="E53" s="258"/>
      <c r="F53" s="229">
        <v>-4</v>
      </c>
      <c r="G53" s="282" t="e">
        <f t="shared" si="0"/>
        <v>#VALUE!</v>
      </c>
      <c r="H53" s="230" t="e">
        <f t="shared" ref="H53:H62" si="2">IF(ISBLANK($A$9),"",($B$9/$C$9)*(1/($D$9*$E$9/(1+((G53)))+(1-$D$9*$E$9))))</f>
        <v>#VALUE!</v>
      </c>
      <c r="I53" s="200">
        <v>14</v>
      </c>
      <c r="J53" s="231">
        <f t="shared" si="1"/>
        <v>1.7782794100389226E-2</v>
      </c>
      <c r="K53" s="230" t="e">
        <f>IF(ISBLANK($A$9),"", ($B$9/$C$9)*(1/($E$9*$D$9/(1+(J53*$W$9/('Enzymes-fm,CYP from rCYPs'!$Z$10*($U$9+$W$9))))+(1-($E$9*$D$9)))))</f>
        <v>#VALUE!</v>
      </c>
      <c r="L53" s="201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spans="1:26" ht="12.75" customHeight="1" x14ac:dyDescent="0.25">
      <c r="A54" s="259" t="str">
        <f>CONCATENATE('Inhibitors for various CYPs'!A6," (",'Inhibitors for various CYPs'!B6,")")</f>
        <v>Fluoxetin (CYP2D6)</v>
      </c>
      <c r="B54" s="259" t="str">
        <f>CONCATENATE('Substrates for various CYPs'!A6," (",'Substrates for various CYPs'!B6,")")</f>
        <v>Midazolam (CYP3A4)</v>
      </c>
      <c r="C54" s="204"/>
      <c r="D54" s="233"/>
      <c r="E54" s="258"/>
      <c r="F54" s="229">
        <v>-3</v>
      </c>
      <c r="G54" s="282" t="e">
        <f t="shared" si="0"/>
        <v>#VALUE!</v>
      </c>
      <c r="H54" s="230" t="e">
        <f t="shared" si="2"/>
        <v>#VALUE!</v>
      </c>
      <c r="I54" s="232">
        <v>12</v>
      </c>
      <c r="J54" s="231">
        <f t="shared" si="1"/>
        <v>3.1622776601683784E-2</v>
      </c>
      <c r="K54" s="230" t="e">
        <f>IF(ISBLANK($A$9),"", ($B$9/$C$9)*(1/($E$9*$D$9/(1+(J54*$W$9/('Enzymes-fm,CYP from rCYPs'!$Z$10*($U$9+$W$9))))+(1-($E$9*$D$9)))))</f>
        <v>#VALUE!</v>
      </c>
      <c r="L54" s="233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spans="1:26" ht="12.75" customHeight="1" x14ac:dyDescent="0.25">
      <c r="A55" s="259" t="str">
        <f>CONCATENATE('Inhibitors for various CYPs'!A7," (",'Inhibitors for various CYPs'!B7,")")</f>
        <v>Fluoxetin (CYP2C9)</v>
      </c>
      <c r="B55" s="259" t="str">
        <f>CONCATENATE('Substrates for various CYPs'!A7," (",'Substrates for various CYPs'!B7,")")</f>
        <v>Nifedipine (CYP3A4)</v>
      </c>
      <c r="C55" s="204"/>
      <c r="D55" s="233"/>
      <c r="E55" s="258"/>
      <c r="F55" s="229">
        <v>-2</v>
      </c>
      <c r="G55" s="283" t="e">
        <f t="shared" si="0"/>
        <v>#VALUE!</v>
      </c>
      <c r="H55" s="230" t="e">
        <f t="shared" si="2"/>
        <v>#VALUE!</v>
      </c>
      <c r="I55" s="234">
        <v>10</v>
      </c>
      <c r="J55" s="231">
        <f t="shared" si="1"/>
        <v>5.6234132519034884E-2</v>
      </c>
      <c r="K55" s="230" t="e">
        <f>IF(ISBLANK($A$9),"", ($B$9/$C$9)*(1/($E$9*$D$9/(1+(J55*$W$9/('Enzymes-fm,CYP from rCYPs'!$Z$10*($U$9+$W$9))))+(1-($E$9*$D$9)))))</f>
        <v>#VALUE!</v>
      </c>
      <c r="L55" s="235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spans="1:26" ht="12.75" customHeight="1" x14ac:dyDescent="0.25">
      <c r="A56" s="259" t="str">
        <f>CONCATENATE('Inhibitors for various CYPs'!A8," (",'Inhibitors for various CYPs'!B8,")")</f>
        <v>Fluoxetin (CYP3A4)</v>
      </c>
      <c r="B56" s="259" t="str">
        <f>CONCATENATE('Substrates for various CYPs'!A8," (",'Substrates for various CYPs'!B8,")")</f>
        <v>Quinidine (CYP3A4)</v>
      </c>
      <c r="C56" s="204"/>
      <c r="D56" s="233"/>
      <c r="E56" s="258"/>
      <c r="F56" s="229">
        <v>-1</v>
      </c>
      <c r="G56" s="282" t="e">
        <f t="shared" si="0"/>
        <v>#VALUE!</v>
      </c>
      <c r="H56" s="230" t="e">
        <f t="shared" si="2"/>
        <v>#VALUE!</v>
      </c>
      <c r="I56" s="200">
        <v>8</v>
      </c>
      <c r="J56" s="231">
        <f t="shared" si="1"/>
        <v>0.1</v>
      </c>
      <c r="K56" s="230" t="e">
        <f>IF(ISBLANK($A$9),"", ($B$9/$C$9)*(1/($E$9*$D$9/(1+(J56*$W$9/('Enzymes-fm,CYP from rCYPs'!$Z$10*($U$9+$W$9))))+(1-($E$9*$D$9)))))</f>
        <v>#VALUE!</v>
      </c>
      <c r="L56" s="201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spans="1:26" ht="12.75" customHeight="1" x14ac:dyDescent="0.25">
      <c r="A57" s="259" t="str">
        <f>CONCATENATE('Inhibitors for various CYPs'!A9," (",'Inhibitors for various CYPs'!B9,")")</f>
        <v>Fluoxetin (CYP3A5)</v>
      </c>
      <c r="B57" s="259" t="str">
        <f>CONCATENATE('Substrates for various CYPs'!A9," (",'Substrates for various CYPs'!B9,")")</f>
        <v>Sildenafil (CYP3A4)</v>
      </c>
      <c r="C57" s="204"/>
      <c r="D57" s="233"/>
      <c r="E57" s="258"/>
      <c r="F57" s="229">
        <v>0</v>
      </c>
      <c r="G57" s="282" t="e">
        <f t="shared" si="0"/>
        <v>#VALUE!</v>
      </c>
      <c r="H57" s="230" t="e">
        <f t="shared" si="2"/>
        <v>#VALUE!</v>
      </c>
      <c r="I57" s="200">
        <v>6</v>
      </c>
      <c r="J57" s="231">
        <f t="shared" si="1"/>
        <v>0.17782794100389224</v>
      </c>
      <c r="K57" s="230" t="e">
        <f>IF(ISBLANK($A$9),"", ($B$9/$C$9)*(1/($E$9*$D$9/(1+(J57*$W$9/('Enzymes-fm,CYP from rCYPs'!$Z$10*($U$9+$W$9))))+(1-($E$9*$D$9)))))</f>
        <v>#VALUE!</v>
      </c>
      <c r="L57" s="201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spans="1:26" ht="12.75" customHeight="1" x14ac:dyDescent="0.25">
      <c r="A58" s="259" t="str">
        <f>CONCATENATE('Inhibitors for various CYPs'!A10," (",'Inhibitors for various CYPs'!B10,")")</f>
        <v>Quinidine (CYP2D6)</v>
      </c>
      <c r="B58" s="259" t="str">
        <f>CONCATENATE('Substrates for various CYPs'!A10," (",'Substrates for various CYPs'!B10,")")</f>
        <v>Simvastatin (CYP3A4)</v>
      </c>
      <c r="C58" s="204"/>
      <c r="D58" s="233"/>
      <c r="E58" s="258"/>
      <c r="F58" s="229">
        <v>1</v>
      </c>
      <c r="G58" s="282" t="e">
        <f t="shared" si="0"/>
        <v>#VALUE!</v>
      </c>
      <c r="H58" s="230" t="e">
        <f t="shared" si="2"/>
        <v>#VALUE!</v>
      </c>
      <c r="I58" s="200">
        <v>4</v>
      </c>
      <c r="J58" s="231">
        <f t="shared" si="1"/>
        <v>0.31622776601683794</v>
      </c>
      <c r="K58" s="230" t="e">
        <f>IF(ISBLANK($A$9),"", ($B$9/$C$9)*(1/($E$9*$D$9/(1+(J58*$W$9/('Enzymes-fm,CYP from rCYPs'!$Z$10*($U$9+$W$9))))+(1-($E$9*$D$9)))))</f>
        <v>#VALUE!</v>
      </c>
      <c r="L58" s="201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spans="1:26" ht="12.75" customHeight="1" x14ac:dyDescent="0.25">
      <c r="A59" s="259" t="str">
        <f>CONCATENATE('Inhibitors for various CYPs'!A11," (",'Inhibitors for various CYPs'!B11,")")</f>
        <v>Quinidine (CYP3A4)</v>
      </c>
      <c r="B59" s="259" t="str">
        <f>CONCATENATE('Substrates for various CYPs'!A11," (",'Substrates for various CYPs'!B11,")")</f>
        <v>Trazodone (CYP3A4)</v>
      </c>
      <c r="C59" s="204"/>
      <c r="D59" s="233"/>
      <c r="F59" s="229">
        <v>2</v>
      </c>
      <c r="G59" s="282" t="e">
        <f t="shared" si="0"/>
        <v>#VALUE!</v>
      </c>
      <c r="H59" s="230" t="e">
        <f t="shared" si="2"/>
        <v>#VALUE!</v>
      </c>
      <c r="I59" s="200">
        <v>2</v>
      </c>
      <c r="J59" s="231">
        <f t="shared" si="1"/>
        <v>0.56234132519034907</v>
      </c>
      <c r="K59" s="230" t="e">
        <f>IF(ISBLANK($A$9),"", ($B$9/$C$9)*(1/($E$9*$D$9/(1+(J59*$W$9/('Enzymes-fm,CYP from rCYPs'!$Z$10*($U$9+$W$9))))+(1-($E$9*$D$9)))))</f>
        <v>#VALUE!</v>
      </c>
      <c r="L59" s="201"/>
    </row>
    <row r="60" spans="1:26" ht="12.75" customHeight="1" x14ac:dyDescent="0.25">
      <c r="A60" s="259" t="str">
        <f>CONCATENATE('Inhibitors for various CYPs'!A12," (",'Inhibitors for various CYPs'!B12,")")</f>
        <v>Fluvoxamine (CYP1A2)</v>
      </c>
      <c r="B60" s="259" t="str">
        <f>CONCATENATE('Substrates for various CYPs'!A12," (",'Substrates for various CYPs'!B12,")")</f>
        <v>Triazolam (CYP3A4)</v>
      </c>
      <c r="C60" s="204"/>
      <c r="D60" s="233"/>
      <c r="F60" s="229">
        <v>3</v>
      </c>
      <c r="G60" s="282" t="e">
        <f t="shared" si="0"/>
        <v>#VALUE!</v>
      </c>
      <c r="H60" s="230" t="e">
        <f t="shared" si="2"/>
        <v>#VALUE!</v>
      </c>
      <c r="I60" s="200">
        <v>0</v>
      </c>
      <c r="J60" s="231">
        <f t="shared" si="1"/>
        <v>1</v>
      </c>
      <c r="K60" s="230" t="e">
        <f>IF(ISBLANK($A$9),"", ($B$9/$C$9)*(1/($E$9*$D$9/(1+(J60*$W$9/('Enzymes-fm,CYP from rCYPs'!$Z$10*($U$9+$W$9))))+(1-($E$9*$D$9)))))</f>
        <v>#VALUE!</v>
      </c>
      <c r="L60" s="201"/>
    </row>
    <row r="61" spans="1:26" ht="12.75" customHeight="1" x14ac:dyDescent="0.25">
      <c r="A61" s="259" t="str">
        <f>CONCATENATE('Inhibitors for various CYPs'!A13," (",'Inhibitors for various CYPs'!B13,")")</f>
        <v>Fluvoxamine (CYP2C9)</v>
      </c>
      <c r="B61" s="259" t="str">
        <f>CONCATENATE('Substrates for various CYPs'!A13," (",'Substrates for various CYPs'!B13,")")</f>
        <v>Zolpidem (CYP3A4)</v>
      </c>
      <c r="C61" s="204"/>
      <c r="D61" s="233"/>
      <c r="F61" s="229">
        <v>4</v>
      </c>
      <c r="G61" s="282" t="e">
        <f t="shared" si="0"/>
        <v>#VALUE!</v>
      </c>
      <c r="H61" s="230" t="e">
        <f t="shared" si="2"/>
        <v>#VALUE!</v>
      </c>
      <c r="I61" s="200">
        <v>-2</v>
      </c>
      <c r="J61" s="242">
        <f t="shared" si="1"/>
        <v>1.778279410038923</v>
      </c>
      <c r="K61" s="230" t="e">
        <f>IF(ISBLANK($A$9),"", ($B$9/$C$9)*(1/($E$9*$D$9/(1+(J61*$W$9/('Enzymes-fm,CYP from rCYPs'!$Z$10*($U$9+$W$9))))+(1-($E$9*$D$9)))))</f>
        <v>#VALUE!</v>
      </c>
      <c r="L61" s="201"/>
    </row>
    <row r="62" spans="1:26" ht="12.75" customHeight="1" x14ac:dyDescent="0.25">
      <c r="A62" s="259" t="str">
        <f>CONCATENATE('Inhibitors for various CYPs'!A14," (",'Inhibitors for various CYPs'!B14,")")</f>
        <v>Fluvoxamine (CYP2C19)</v>
      </c>
      <c r="B62" s="259" t="str">
        <f>CONCATENATE('Substrates for various CYPs'!A14," (",'Substrates for various CYPs'!B14,")")</f>
        <v>Atomoxetin (CYP2D6)</v>
      </c>
      <c r="C62" s="204"/>
      <c r="D62" s="233"/>
      <c r="F62" s="229">
        <v>5</v>
      </c>
      <c r="G62" s="282" t="e">
        <f t="shared" si="0"/>
        <v>#VALUE!</v>
      </c>
      <c r="H62" s="230" t="e">
        <f t="shared" si="2"/>
        <v>#VALUE!</v>
      </c>
      <c r="I62" s="200">
        <v>-4</v>
      </c>
      <c r="J62" s="242">
        <f t="shared" si="1"/>
        <v>3.1622776601683795</v>
      </c>
      <c r="K62" s="230" t="e">
        <f>IF(ISBLANK($A$9),"", ($B$9/$C$9)*(1/($E$9*$D$9/(1+(J62*$W$9/('Enzymes-fm,CYP from rCYPs'!$Z$10*($U$9+$W$9))))+(1-($E$9*$D$9)))))</f>
        <v>#VALUE!</v>
      </c>
      <c r="L62" s="201"/>
    </row>
    <row r="63" spans="1:26" ht="12.75" customHeight="1" x14ac:dyDescent="0.25">
      <c r="A63" s="259" t="str">
        <f>CONCATENATE('Inhibitors for various CYPs'!A15," (",'Inhibitors for various CYPs'!B15,")")</f>
        <v>Fluvoxamine (CYP2D6)</v>
      </c>
      <c r="B63" s="259" t="str">
        <f>CONCATENATE('Substrates for various CYPs'!A15," (",'Substrates for various CYPs'!B15,")")</f>
        <v>Desipramine (CYP2D6)</v>
      </c>
      <c r="C63" s="204"/>
      <c r="D63" s="233"/>
      <c r="F63" s="249"/>
      <c r="G63" s="250"/>
      <c r="H63" s="250"/>
      <c r="I63" s="200">
        <v>-6</v>
      </c>
      <c r="J63" s="242">
        <f t="shared" si="1"/>
        <v>5.6234132519034921</v>
      </c>
      <c r="K63" s="230" t="e">
        <f>IF(ISBLANK($A$9),"", ($B$9/$C$9)*(1/($E$9*$D$9/(1+(J63*$W$9/('Enzymes-fm,CYP from rCYPs'!$Z$10*($U$9+$W$9))))+(1-($E$9*$D$9)))))</f>
        <v>#VALUE!</v>
      </c>
      <c r="L63" s="201"/>
    </row>
    <row r="64" spans="1:26" ht="12.75" customHeight="1" x14ac:dyDescent="0.25">
      <c r="A64" s="259" t="str">
        <f>CONCATENATE('Inhibitors for various CYPs'!A16," (",'Inhibitors for various CYPs'!B16,")")</f>
        <v>Fluvoxamine (CYP3A5)</v>
      </c>
      <c r="B64" s="259" t="str">
        <f>CONCATENATE('Substrates for various CYPs'!A16," (",'Substrates for various CYPs'!B16,")")</f>
        <v>R-Metoprolol (CYP2D6)</v>
      </c>
      <c r="C64" s="204"/>
      <c r="D64" s="233"/>
      <c r="F64" s="203"/>
      <c r="G64" s="200" t="s">
        <v>327</v>
      </c>
      <c r="H64" s="204">
        <v>0</v>
      </c>
      <c r="I64" s="200">
        <v>-8</v>
      </c>
      <c r="J64" s="242">
        <f t="shared" si="1"/>
        <v>10</v>
      </c>
      <c r="K64" s="230" t="e">
        <f>IF(ISBLANK($A$9),"", ($B$9/$C$9)*(1/($E$9*$D$9/(1+(J64*$W$9/('Enzymes-fm,CYP from rCYPs'!$Z$10*($U$9+$W$9))))+(1-($E$9*$D$9)))))</f>
        <v>#VALUE!</v>
      </c>
      <c r="L64" s="201"/>
    </row>
    <row r="65" spans="1:12" ht="12.75" customHeight="1" x14ac:dyDescent="0.25">
      <c r="A65" s="259" t="str">
        <f>CONCATENATE('Inhibitors for various CYPs'!A17," (",'Inhibitors for various CYPs'!B17,")")</f>
        <v>Sulfaphenazole (CYP2C9)</v>
      </c>
      <c r="B65" s="259" t="str">
        <f>CONCATENATE('Substrates for various CYPs'!A17," (",'Substrates for various CYPs'!B17,")")</f>
        <v>S-Metoprolol (CYP2D6)</v>
      </c>
      <c r="C65" s="204"/>
      <c r="D65" s="233"/>
      <c r="F65" s="203"/>
      <c r="G65" s="526" t="s">
        <v>343</v>
      </c>
      <c r="H65" s="526" t="s">
        <v>325</v>
      </c>
      <c r="I65" s="200">
        <v>-10</v>
      </c>
      <c r="J65" s="242">
        <f t="shared" si="1"/>
        <v>17.782794100389236</v>
      </c>
      <c r="K65" s="230" t="e">
        <f>IF(ISBLANK($A$9),"", ($B$9/$C$9)*(1/($E$9*$D$9/(1+(J65*$W$9/('Enzymes-fm,CYP from rCYPs'!$Z$10*($U$9+$W$9))))+(1-($E$9*$D$9)))))</f>
        <v>#VALUE!</v>
      </c>
      <c r="L65" s="201"/>
    </row>
    <row r="66" spans="1:12" ht="12.75" customHeight="1" x14ac:dyDescent="0.25">
      <c r="A66" s="259" t="str">
        <f>CONCATENATE('Inhibitors for various CYPs'!A18," (",'Inhibitors for various CYPs'!B18,")")</f>
        <v>Sulfaphenazole (CYP2C19)</v>
      </c>
      <c r="B66" s="259" t="str">
        <f>CONCATENATE('Substrates for various CYPs'!A18," (",'Substrates for various CYPs'!B18,")")</f>
        <v>Paroxetine (CYP2D6)</v>
      </c>
      <c r="C66" s="204"/>
      <c r="D66" s="233"/>
      <c r="F66" s="203"/>
      <c r="G66" s="527"/>
      <c r="H66" s="527"/>
      <c r="I66" s="200">
        <v>-12</v>
      </c>
      <c r="J66" s="242">
        <f t="shared" si="1"/>
        <v>31.622776601683803</v>
      </c>
      <c r="K66" s="230" t="e">
        <f>IF(ISBLANK($A$9),"", ($B$9/$C$9)*(1/($E$9*$D$9/(1+(J66*$W$9/('Enzymes-fm,CYP from rCYPs'!$Z$10*($U$9+$W$9))))+(1-($E$9*$D$9)))))</f>
        <v>#VALUE!</v>
      </c>
      <c r="L66" s="201"/>
    </row>
    <row r="67" spans="1:12" ht="12.75" customHeight="1" x14ac:dyDescent="0.25">
      <c r="A67" s="259" t="str">
        <f>CONCATENATE('Inhibitors for various CYPs'!A19," (",'Inhibitors for various CYPs'!B19,")")</f>
        <v>Paroxetine (CYP2D6)</v>
      </c>
      <c r="B67" s="259" t="str">
        <f>CONCATENATE('Substrates for various CYPs'!A19," (",'Substrates for various CYPs'!B19,")")</f>
        <v>Perphenazine (CYP2D6)</v>
      </c>
      <c r="C67" s="204"/>
      <c r="D67" s="233"/>
      <c r="F67" s="203"/>
      <c r="G67" s="251">
        <v>0</v>
      </c>
      <c r="H67" s="230" t="e">
        <f t="shared" ref="H67:H77" si="3">IF(ISBLANK($A$9),"",($B$9/$C$9)*(1/(G67/(1+($W$9/$J$9))+(1-G67))))</f>
        <v>#VALUE!</v>
      </c>
      <c r="I67" s="200">
        <v>-14</v>
      </c>
      <c r="J67" s="242">
        <f t="shared" si="1"/>
        <v>56.234132519034915</v>
      </c>
      <c r="K67" s="230" t="e">
        <f>IF(ISBLANK($A$9),"", ($B$9/$C$9)*(1/($E$9*$D$9/(1+(J67*$W$9/('Enzymes-fm,CYP from rCYPs'!$Z$10*($U$9+$W$9))))+(1-($E$9*$D$9)))))</f>
        <v>#VALUE!</v>
      </c>
      <c r="L67" s="201"/>
    </row>
    <row r="68" spans="1:12" ht="12.75" customHeight="1" x14ac:dyDescent="0.25">
      <c r="A68" s="259" t="str">
        <f>CONCATENATE("TDI-",'Inhibitors for various CYPs'!A20," (",'Inhibitors for various CYPs'!B20,")")</f>
        <v>TDI-Diltiazem (CYP3A4)</v>
      </c>
      <c r="B68" s="259" t="str">
        <f>CONCATENATE('Substrates for various CYPs'!A20," (",'Substrates for various CYPs'!B20,")")</f>
        <v>Risperidone (CYP2D6)</v>
      </c>
      <c r="C68" s="204"/>
      <c r="D68" s="233"/>
      <c r="F68" s="203"/>
      <c r="G68" s="251">
        <v>0.1</v>
      </c>
      <c r="H68" s="230" t="e">
        <f t="shared" si="3"/>
        <v>#VALUE!</v>
      </c>
      <c r="I68" s="200">
        <v>-16</v>
      </c>
      <c r="J68" s="242">
        <f t="shared" si="1"/>
        <v>100</v>
      </c>
      <c r="K68" s="230" t="e">
        <f>IF(ISBLANK($A$9),"", ($B$9/$C$9)*(1/($E$9*$D$9/(1+(J68*$W$9/('Enzymes-fm,CYP from rCYPs'!$Z$10*($U$9+$W$9))))+(1-($E$9*$D$9)))))</f>
        <v>#VALUE!</v>
      </c>
      <c r="L68" s="201"/>
    </row>
    <row r="69" spans="1:12" ht="12.75" customHeight="1" x14ac:dyDescent="0.35">
      <c r="A69" s="259" t="str">
        <f>CONCATENATE("TDI-",'Inhibitors for various CYPs'!A21," (",'Inhibitors for various CYPs'!B21,")")</f>
        <v>TDI-Diltiazem (CYP3A5)</v>
      </c>
      <c r="B69" s="259" t="str">
        <f>CONCATENATE('Substrates for various CYPs'!A21," (",'Substrates for various CYPs'!B21,")")</f>
        <v>bufuralol (CYP2D6)</v>
      </c>
      <c r="C69" s="204"/>
      <c r="D69" s="233"/>
      <c r="F69" s="203"/>
      <c r="G69" s="251">
        <v>0.2</v>
      </c>
      <c r="H69" s="230" t="e">
        <f t="shared" si="3"/>
        <v>#VALUE!</v>
      </c>
      <c r="I69" s="200"/>
      <c r="J69" s="200" t="s">
        <v>344</v>
      </c>
      <c r="K69" s="204">
        <v>0</v>
      </c>
      <c r="L69" s="201"/>
    </row>
    <row r="70" spans="1:12" ht="12.75" customHeight="1" x14ac:dyDescent="0.25">
      <c r="A70" s="259" t="str">
        <f>CONCATENATE("TDI-",'Inhibitors for various CYPs'!A22," (",'Inhibitors for various CYPs'!B22,")")</f>
        <v>TDI-Erythromycin (CYP3A4)</v>
      </c>
      <c r="B70" s="259" t="str">
        <f>CONCATENATE('Substrates for various CYPs'!A22," (",'Substrates for various CYPs'!B22,")")</f>
        <v>Dextromethorphan (CYP2D6)</v>
      </c>
      <c r="C70" s="204"/>
      <c r="D70" s="233"/>
      <c r="F70" s="203"/>
      <c r="G70" s="251">
        <v>0.3</v>
      </c>
      <c r="H70" s="230" t="e">
        <f t="shared" si="3"/>
        <v>#VALUE!</v>
      </c>
      <c r="I70" s="200"/>
      <c r="J70" s="526" t="s">
        <v>345</v>
      </c>
      <c r="K70" s="526" t="s">
        <v>325</v>
      </c>
      <c r="L70" s="201"/>
    </row>
    <row r="71" spans="1:12" ht="12.75" customHeight="1" x14ac:dyDescent="0.25">
      <c r="A71" s="259" t="str">
        <f>CONCATENATE("TDI-",'Inhibitors for various CYPs'!A23," (",'Inhibitors for various CYPs'!B23,")")</f>
        <v>TDI-Erythromycin (CYP3A5)</v>
      </c>
      <c r="B71" s="259" t="str">
        <f>CONCATENATE('Substrates for various CYPs'!A23," (",'Substrates for various CYPs'!B23,")")</f>
        <v>Imipramine (CYP2D6)</v>
      </c>
      <c r="C71" s="204"/>
      <c r="D71" s="233"/>
      <c r="F71" s="203"/>
      <c r="G71" s="251">
        <v>0.4</v>
      </c>
      <c r="H71" s="230" t="e">
        <f t="shared" si="3"/>
        <v>#VALUE!</v>
      </c>
      <c r="I71" s="200"/>
      <c r="J71" s="527"/>
      <c r="K71" s="527"/>
      <c r="L71" s="201"/>
    </row>
    <row r="72" spans="1:12" ht="12.75" customHeight="1" x14ac:dyDescent="0.25">
      <c r="A72" s="259" t="str">
        <f>CONCATENATE("TDI-",'Inhibitors for various CYPs'!A24," (",'Inhibitors for various CYPs'!B24,")")</f>
        <v>TDI-Ritonavir (CYP3A4)</v>
      </c>
      <c r="B72" s="259" t="str">
        <f>CONCATENATE('Substrates for various CYPs'!A24," (",'Substrates for various CYPs'!B24,")")</f>
        <v>Caffeine (CYP1A2)</v>
      </c>
      <c r="C72" s="204"/>
      <c r="D72" s="233"/>
      <c r="F72" s="203"/>
      <c r="G72" s="251">
        <v>0.5</v>
      </c>
      <c r="H72" s="230" t="e">
        <f t="shared" si="3"/>
        <v>#VALUE!</v>
      </c>
      <c r="I72" s="200">
        <v>0</v>
      </c>
      <c r="J72" s="231">
        <f t="shared" ref="J72:J84" si="4">IF(ISBLANK($A$9),"",10^((I72/2)-3))</f>
        <v>1E-3</v>
      </c>
      <c r="K72" s="230" t="e">
        <f>IF(ISBLANK($A$9),"", ($B$9/$C$9)*(1/($E$9*$D$9/(1+($V$9*$W$9/('[2]Enzymes-fm,CYP from rCYPs'!$Z$10*(J72+$W$9))))+(1-($E$9*$D$9)))))</f>
        <v>#VALUE!</v>
      </c>
      <c r="L72" s="201"/>
    </row>
    <row r="73" spans="1:12" ht="12.75" customHeight="1" x14ac:dyDescent="0.25">
      <c r="A73" s="259" t="str">
        <f>CONCATENATE("TDI-",'Inhibitors for various CYPs'!A25," (",'Inhibitors for various CYPs'!B25,")")</f>
        <v>TDI-Verapamil (CYP3A4)</v>
      </c>
      <c r="B73" s="259" t="str">
        <f>CONCATENATE('Substrates for various CYPs'!A25," (",'Substrates for various CYPs'!B25,")")</f>
        <v>Clozapine (CYP1A2)</v>
      </c>
      <c r="C73" s="204"/>
      <c r="D73" s="233"/>
      <c r="F73" s="203"/>
      <c r="G73" s="251">
        <v>0.6</v>
      </c>
      <c r="H73" s="230" t="e">
        <f t="shared" si="3"/>
        <v>#VALUE!</v>
      </c>
      <c r="I73" s="200">
        <v>1</v>
      </c>
      <c r="J73" s="231">
        <f t="shared" si="4"/>
        <v>3.1622776601683764E-3</v>
      </c>
      <c r="K73" s="230" t="e">
        <f>IF(ISBLANK($A$9),"", ($B$9/$C$9)*(1/($E$9*$D$9/(1+($V$9*$W$9/('[2]Enzymes-fm,CYP from rCYPs'!$Z$10*(J73+$W$9))))+(1-($E$9*$D$9)))))</f>
        <v>#VALUE!</v>
      </c>
      <c r="L73" s="201"/>
    </row>
    <row r="74" spans="1:12" ht="12.75" customHeight="1" x14ac:dyDescent="0.25">
      <c r="A74" s="259" t="str">
        <f>CONCATENATE("TDI-",'Inhibitors for various CYPs'!A26," (",'Inhibitors for various CYPs'!B26,")")</f>
        <v>TDI-Fluoxetin (CYP3A4)</v>
      </c>
      <c r="B74" s="259" t="str">
        <f>CONCATENATE('Substrates for various CYPs'!A26," (",'Substrates for various CYPs'!B26,")")</f>
        <v>Phenacetin (CYP1A2)</v>
      </c>
      <c r="C74" s="204"/>
      <c r="D74" s="233"/>
      <c r="F74" s="203"/>
      <c r="G74" s="251">
        <v>0.7</v>
      </c>
      <c r="H74" s="230" t="e">
        <f t="shared" si="3"/>
        <v>#VALUE!</v>
      </c>
      <c r="I74" s="200">
        <v>2</v>
      </c>
      <c r="J74" s="231">
        <f t="shared" si="4"/>
        <v>0.01</v>
      </c>
      <c r="K74" s="230" t="e">
        <f>IF(ISBLANK($A$9),"", ($B$9/$C$9)*(1/($E$9*$D$9/(1+($V$9*$W$9/('[2]Enzymes-fm,CYP from rCYPs'!$Z$10*(J74+$W$9))))+(1-($E$9*$D$9)))))</f>
        <v>#VALUE!</v>
      </c>
      <c r="L74" s="201"/>
    </row>
    <row r="75" spans="1:12" ht="12.75" customHeight="1" x14ac:dyDescent="0.25">
      <c r="A75" s="259" t="str">
        <f>CONCATENATE("TDI-",'Inhibitors for various CYPs'!A27," (",'Inhibitors for various CYPs'!B27,")")</f>
        <v>TDI-Paroxetine (CYP2D6)</v>
      </c>
      <c r="B75" s="259" t="str">
        <f>CONCATENATE('Substrates for various CYPs'!A27," (",'Substrates for various CYPs'!B27,")")</f>
        <v>Theophylline (CYP1A2)</v>
      </c>
      <c r="C75" s="204"/>
      <c r="D75" s="233"/>
      <c r="F75" s="203"/>
      <c r="G75" s="251">
        <v>0.8</v>
      </c>
      <c r="H75" s="230" t="e">
        <f t="shared" si="3"/>
        <v>#VALUE!</v>
      </c>
      <c r="I75" s="200">
        <v>3</v>
      </c>
      <c r="J75" s="231">
        <f t="shared" si="4"/>
        <v>3.1622776601683784E-2</v>
      </c>
      <c r="K75" s="230" t="e">
        <f>IF(ISBLANK($A$9),"", ($B$9/$C$9)*(1/($E$9*$D$9/(1+($V$9*$W$9/('[2]Enzymes-fm,CYP from rCYPs'!$Z$10*(J75+$W$9))))+(1-($E$9*$D$9)))))</f>
        <v>#VALUE!</v>
      </c>
      <c r="L75" s="201"/>
    </row>
    <row r="76" spans="1:12" ht="12.75" customHeight="1" x14ac:dyDescent="0.25">
      <c r="A76" s="203"/>
      <c r="B76" s="259" t="str">
        <f>CONCATENATE('Substrates for various CYPs'!A28," (",'Substrates for various CYPs'!B28,")")</f>
        <v>Bupropion (CYP2B6)</v>
      </c>
      <c r="C76" s="204"/>
      <c r="D76" s="233"/>
      <c r="F76" s="203"/>
      <c r="G76" s="251">
        <v>0.9</v>
      </c>
      <c r="H76" s="230" t="e">
        <f t="shared" si="3"/>
        <v>#VALUE!</v>
      </c>
      <c r="I76" s="200">
        <v>4</v>
      </c>
      <c r="J76" s="231">
        <f t="shared" si="4"/>
        <v>0.1</v>
      </c>
      <c r="K76" s="230" t="e">
        <f>IF(ISBLANK($A$9),"", ($B$9/$C$9)*(1/($E$9*$D$9/(1+($V$9*$W$9/('[2]Enzymes-fm,CYP from rCYPs'!$Z$10*(J76+$W$9))))+(1-($E$9*$D$9)))))</f>
        <v>#VALUE!</v>
      </c>
      <c r="L76" s="201"/>
    </row>
    <row r="77" spans="1:12" ht="12.75" customHeight="1" x14ac:dyDescent="0.25">
      <c r="A77" s="203"/>
      <c r="B77" s="259" t="str">
        <f>CONCATENATE('Substrates for various CYPs'!A29," (",'Substrates for various CYPs'!B29,")")</f>
        <v>Chlorzoxazone (CYP2E1)</v>
      </c>
      <c r="C77" s="204"/>
      <c r="D77" s="233"/>
      <c r="F77" s="203"/>
      <c r="G77" s="251">
        <v>1</v>
      </c>
      <c r="H77" s="230" t="e">
        <f t="shared" si="3"/>
        <v>#VALUE!</v>
      </c>
      <c r="I77" s="200">
        <v>5</v>
      </c>
      <c r="J77" s="231">
        <f t="shared" si="4"/>
        <v>0.31622776601683794</v>
      </c>
      <c r="K77" s="230" t="e">
        <f>IF(ISBLANK($A$9),"", ($B$9/$C$9)*(1/($E$9*$D$9/(1+($V$9*$W$9/('[2]Enzymes-fm,CYP from rCYPs'!$Z$10*(J77+$W$9))))+(1-($E$9*$D$9)))))</f>
        <v>#VALUE!</v>
      </c>
      <c r="L77" s="201"/>
    </row>
    <row r="78" spans="1:12" ht="12.75" customHeight="1" x14ac:dyDescent="0.25">
      <c r="A78" s="203"/>
      <c r="B78" s="259" t="str">
        <f>CONCATENATE('Substrates for various CYPs'!A30," (",'Substrates for various CYPs'!B30,")")</f>
        <v>Omeprazole (CYP2C19)</v>
      </c>
      <c r="C78" s="204"/>
      <c r="D78" s="233"/>
      <c r="F78" s="203"/>
      <c r="G78" s="200" t="s">
        <v>328</v>
      </c>
      <c r="H78" s="204">
        <v>1</v>
      </c>
      <c r="I78" s="200">
        <v>6</v>
      </c>
      <c r="J78" s="231">
        <f t="shared" si="4"/>
        <v>1</v>
      </c>
      <c r="K78" s="230" t="e">
        <f>IF(ISBLANK($A$9),"", ($B$9/$C$9)*(1/($E$9*$D$9/(1+($V$9*$W$9/('[2]Enzymes-fm,CYP from rCYPs'!$Z$10*(J78+$W$9))))+(1-($E$9*$D$9)))))</f>
        <v>#VALUE!</v>
      </c>
      <c r="L78" s="201"/>
    </row>
    <row r="79" spans="1:12" ht="12.75" customHeight="1" x14ac:dyDescent="0.25">
      <c r="A79" s="260" t="s">
        <v>413</v>
      </c>
      <c r="B79" s="259" t="str">
        <f>CONCATENATE('Substrates for various CYPs'!A31," (",'Substrates for various CYPs'!B31,")")</f>
        <v>S-mephenytoin (CYP2C19)</v>
      </c>
      <c r="C79" s="204"/>
      <c r="D79" s="233"/>
      <c r="F79" s="203"/>
      <c r="G79" s="336" t="s">
        <v>347</v>
      </c>
      <c r="H79" s="336" t="s">
        <v>325</v>
      </c>
      <c r="I79" s="200">
        <v>7</v>
      </c>
      <c r="J79" s="231">
        <f t="shared" si="4"/>
        <v>3.1622776601683795</v>
      </c>
      <c r="K79" s="230" t="e">
        <f>IF(ISBLANK($A$9),"", ($B$9/$C$9)*(1/($E$9*$D$9/(1+($V$9*$W$9/('[2]Enzymes-fm,CYP from rCYPs'!$Z$10*(J79+$W$9))))+(1-($E$9*$D$9)))))</f>
        <v>#VALUE!</v>
      </c>
      <c r="L79" s="201"/>
    </row>
    <row r="80" spans="1:12" ht="12.75" customHeight="1" x14ac:dyDescent="0.25">
      <c r="A80" s="261" t="s">
        <v>324</v>
      </c>
      <c r="B80" s="259" t="str">
        <f>CONCATENATE('Substrates for various CYPs'!A32," (",'Substrates for various CYPs'!B32,")")</f>
        <v>Diclofenac (CYP2C9)</v>
      </c>
      <c r="C80" s="204"/>
      <c r="D80" s="233"/>
      <c r="F80" s="203">
        <v>0</v>
      </c>
      <c r="G80" s="241">
        <f t="shared" ref="G80:G91" si="5">10^((F80/2)-3)</f>
        <v>1E-3</v>
      </c>
      <c r="H80" s="230" t="e">
        <f t="shared" ref="H80:H91" si="6">IF(ISBLANK($A$9),"",G80*(1/($D$9*$E$9/(1+($W$9/$J$9))+(1-$D$9*$E$9))))</f>
        <v>#VALUE!</v>
      </c>
      <c r="I80" s="200">
        <v>9</v>
      </c>
      <c r="J80" s="231">
        <f t="shared" si="4"/>
        <v>31.622776601683803</v>
      </c>
      <c r="K80" s="230" t="e">
        <f>IF(ISBLANK($A$9),"", ($B$9/$C$9)*(1/($E$9*$D$9/(1+($V$9*$W$9/('[2]Enzymes-fm,CYP from rCYPs'!$Z$10*(J80+$W$9))))+(1-($E$9*$D$9)))))</f>
        <v>#VALUE!</v>
      </c>
      <c r="L80" s="201"/>
    </row>
    <row r="81" spans="1:12" ht="12.75" customHeight="1" x14ac:dyDescent="0.25">
      <c r="A81" s="262" t="s">
        <v>65</v>
      </c>
      <c r="B81" s="259" t="str">
        <f>CONCATENATE('Substrates for various CYPs'!A33," (",'Substrates for various CYPs'!B33,")")</f>
        <v>Warfarin (CYP2C9)</v>
      </c>
      <c r="C81" s="204"/>
      <c r="D81" s="233"/>
      <c r="F81" s="203">
        <v>1</v>
      </c>
      <c r="G81" s="241">
        <f t="shared" si="5"/>
        <v>3.1622776601683764E-3</v>
      </c>
      <c r="H81" s="230" t="e">
        <f t="shared" si="6"/>
        <v>#VALUE!</v>
      </c>
      <c r="I81" s="200">
        <v>10</v>
      </c>
      <c r="J81" s="231">
        <f t="shared" si="4"/>
        <v>100</v>
      </c>
      <c r="K81" s="230" t="e">
        <f>IF(ISBLANK($A$9),"", ($B$9/$C$9)*(1/($E$9*$D$9/(1+($V$9*$W$9/('[2]Enzymes-fm,CYP from rCYPs'!$Z$10*(J81+$W$9))))+(1-($E$9*$D$9)))))</f>
        <v>#VALUE!</v>
      </c>
      <c r="L81" s="201"/>
    </row>
    <row r="82" spans="1:12" ht="12.75" customHeight="1" x14ac:dyDescent="0.25">
      <c r="A82" s="262" t="s">
        <v>258</v>
      </c>
      <c r="B82" s="259" t="str">
        <f>CONCATENATE('Substrates for various CYPs'!A34," (",'Substrates for various CYPs'!B34,")")</f>
        <v>Tolbutamide (CYP2C9)</v>
      </c>
      <c r="C82" s="204"/>
      <c r="D82" s="233"/>
      <c r="F82" s="203">
        <v>2</v>
      </c>
      <c r="G82" s="241">
        <f t="shared" si="5"/>
        <v>0.01</v>
      </c>
      <c r="H82" s="230" t="e">
        <f t="shared" si="6"/>
        <v>#VALUE!</v>
      </c>
      <c r="I82" s="200">
        <v>11</v>
      </c>
      <c r="J82" s="231">
        <f t="shared" si="4"/>
        <v>316.22776601683825</v>
      </c>
      <c r="K82" s="230" t="e">
        <f>IF(ISBLANK($A$9),"", ($B$9/$C$9)*(1/($E$9*$D$9/(1+($V$9*$W$9/('[2]Enzymes-fm,CYP from rCYPs'!$Z$10*(J82+$W$9))))+(1-($E$9*$D$9)))))</f>
        <v>#VALUE!</v>
      </c>
      <c r="L82" s="201"/>
    </row>
    <row r="83" spans="1:12" ht="12.75" customHeight="1" x14ac:dyDescent="0.25">
      <c r="A83" s="263"/>
      <c r="B83" s="264"/>
      <c r="C83" s="265"/>
      <c r="D83" s="266"/>
      <c r="F83" s="203">
        <v>3</v>
      </c>
      <c r="G83" s="241">
        <f t="shared" si="5"/>
        <v>3.1622776601683784E-2</v>
      </c>
      <c r="H83" s="230" t="e">
        <f t="shared" si="6"/>
        <v>#VALUE!</v>
      </c>
      <c r="I83" s="200">
        <v>12</v>
      </c>
      <c r="J83" s="284">
        <f t="shared" si="4"/>
        <v>1000</v>
      </c>
      <c r="K83" s="230" t="e">
        <f>IF(ISBLANK($A$9),"", ($B$9/$C$9)*(1/($E$9*$D$9/(1+($V$9*$W$9/('[2]Enzymes-fm,CYP from rCYPs'!$Z$10*(J83+$W$9))))+(1-($E$9*$D$9)))))</f>
        <v>#VALUE!</v>
      </c>
      <c r="L83" s="201"/>
    </row>
    <row r="84" spans="1:12" ht="12.75" customHeight="1" x14ac:dyDescent="0.25">
      <c r="A84" s="236"/>
      <c r="B84" s="204"/>
      <c r="C84" s="204"/>
      <c r="D84" s="233"/>
      <c r="F84" s="203">
        <v>4</v>
      </c>
      <c r="G84" s="241">
        <f t="shared" si="5"/>
        <v>0.1</v>
      </c>
      <c r="H84" s="230" t="e">
        <f t="shared" si="6"/>
        <v>#VALUE!</v>
      </c>
      <c r="I84" s="200">
        <v>13</v>
      </c>
      <c r="J84" s="284">
        <f t="shared" si="4"/>
        <v>3162.2776601683804</v>
      </c>
      <c r="K84" s="230" t="e">
        <f>IF(ISBLANK($A$9),"", ($B$9/$C$9)*(1/($E$9*$D$9/(1+($V$9*$W$9/('[2]Enzymes-fm,CYP from rCYPs'!$Z$10*(J84+$W$9))))+(1-($E$9*$D$9)))))</f>
        <v>#VALUE!</v>
      </c>
      <c r="L84" s="201"/>
    </row>
    <row r="85" spans="1:12" ht="12.75" customHeight="1" x14ac:dyDescent="0.35">
      <c r="A85" s="267" t="s">
        <v>326</v>
      </c>
      <c r="B85" s="267" t="s">
        <v>260</v>
      </c>
      <c r="C85" s="204"/>
      <c r="D85" s="233"/>
      <c r="F85" s="203">
        <v>5</v>
      </c>
      <c r="G85" s="241">
        <f t="shared" si="5"/>
        <v>0.31622776601683794</v>
      </c>
      <c r="H85" s="230" t="e">
        <f t="shared" si="6"/>
        <v>#VALUE!</v>
      </c>
      <c r="I85" s="200"/>
      <c r="J85" s="200" t="s">
        <v>348</v>
      </c>
      <c r="K85" s="204">
        <v>0</v>
      </c>
      <c r="L85" s="201"/>
    </row>
    <row r="86" spans="1:12" ht="12.75" customHeight="1" x14ac:dyDescent="0.25">
      <c r="A86" s="268" t="s">
        <v>46</v>
      </c>
      <c r="B86" s="268" t="s">
        <v>81</v>
      </c>
      <c r="C86" s="204"/>
      <c r="D86" s="233"/>
      <c r="F86" s="203">
        <v>6</v>
      </c>
      <c r="G86" s="241">
        <f t="shared" si="5"/>
        <v>1</v>
      </c>
      <c r="H86" s="230" t="e">
        <f t="shared" si="6"/>
        <v>#VALUE!</v>
      </c>
      <c r="I86" s="200"/>
      <c r="J86" s="526" t="s">
        <v>349</v>
      </c>
      <c r="K86" s="526" t="s">
        <v>325</v>
      </c>
      <c r="L86" s="201"/>
    </row>
    <row r="87" spans="1:12" ht="12.75" customHeight="1" x14ac:dyDescent="0.25">
      <c r="A87" s="269" t="s">
        <v>44</v>
      </c>
      <c r="B87" s="269" t="s">
        <v>82</v>
      </c>
      <c r="C87" s="204"/>
      <c r="D87" s="233"/>
      <c r="F87" s="203">
        <v>7</v>
      </c>
      <c r="G87" s="241">
        <f t="shared" si="5"/>
        <v>3.1622776601683795</v>
      </c>
      <c r="H87" s="230" t="e">
        <f t="shared" si="6"/>
        <v>#VALUE!</v>
      </c>
      <c r="I87" s="200"/>
      <c r="J87" s="527"/>
      <c r="K87" s="527"/>
      <c r="L87" s="201"/>
    </row>
    <row r="88" spans="1:12" ht="12.75" customHeight="1" x14ac:dyDescent="0.25">
      <c r="A88" s="269" t="s">
        <v>239</v>
      </c>
      <c r="B88" s="269" t="s">
        <v>83</v>
      </c>
      <c r="C88" s="204"/>
      <c r="D88" s="233"/>
      <c r="F88" s="203">
        <v>8</v>
      </c>
      <c r="G88" s="241">
        <f t="shared" si="5"/>
        <v>10</v>
      </c>
      <c r="H88" s="230" t="e">
        <f t="shared" si="6"/>
        <v>#VALUE!</v>
      </c>
      <c r="I88" s="200">
        <v>-14</v>
      </c>
      <c r="J88" s="231">
        <f>IF(ISBLANK($A$9),"",10^(I88/4))</f>
        <v>3.1622776601683783E-4</v>
      </c>
      <c r="K88" s="230" t="e">
        <f>IF(ISBLANK($A$9),"", ($B$9/$C$9)*(1/($E$9*$D$9/(1+($V$9*J88/('Enzymes-fm,CYP from rCYPs'!$Z$10*($U$9+J88))))+(1-($E$9*$D$9)))))</f>
        <v>#VALUE!</v>
      </c>
      <c r="L88" s="201"/>
    </row>
    <row r="89" spans="1:12" ht="12.75" customHeight="1" x14ac:dyDescent="0.25">
      <c r="A89" s="269"/>
      <c r="B89" s="269" t="s">
        <v>84</v>
      </c>
      <c r="C89" s="204"/>
      <c r="D89" s="233"/>
      <c r="F89" s="203">
        <v>9</v>
      </c>
      <c r="G89" s="241">
        <f t="shared" si="5"/>
        <v>31.622776601683803</v>
      </c>
      <c r="H89" s="230" t="e">
        <f t="shared" si="6"/>
        <v>#VALUE!</v>
      </c>
      <c r="I89" s="200">
        <v>-12</v>
      </c>
      <c r="J89" s="231">
        <f t="shared" ref="J89:J99" si="7">IF(ISBLANK($A$9),"",10^(I89/4))</f>
        <v>1E-3</v>
      </c>
      <c r="K89" s="230" t="e">
        <f>IF(ISBLANK($A$9),"", ($B$9/$C$9)*(1/($E$9*$D$9/(1+($V$9*J89/('Enzymes-fm,CYP from rCYPs'!$Z$10*($U$9+J89))))+(1-($E$9*$D$9)))))</f>
        <v>#VALUE!</v>
      </c>
      <c r="L89" s="201"/>
    </row>
    <row r="90" spans="1:12" ht="12.75" customHeight="1" x14ac:dyDescent="0.25">
      <c r="A90" s="269"/>
      <c r="B90" s="233" t="s">
        <v>85</v>
      </c>
      <c r="C90" s="204"/>
      <c r="D90" s="233"/>
      <c r="F90" s="203">
        <v>10</v>
      </c>
      <c r="G90" s="241">
        <f t="shared" si="5"/>
        <v>100</v>
      </c>
      <c r="H90" s="230" t="e">
        <f t="shared" si="6"/>
        <v>#VALUE!</v>
      </c>
      <c r="I90" s="200">
        <v>-10</v>
      </c>
      <c r="J90" s="231">
        <f t="shared" si="7"/>
        <v>3.1622776601683764E-3</v>
      </c>
      <c r="K90" s="230" t="e">
        <f>IF(ISBLANK($A$9),"", ($B$9/$C$9)*(1/($E$9*$D$9/(1+($V$9*J90/('Enzymes-fm,CYP from rCYPs'!$Z$10*($U$9+J90))))+(1-($E$9*$D$9)))))</f>
        <v>#VALUE!</v>
      </c>
      <c r="L90" s="201"/>
    </row>
    <row r="91" spans="1:12" ht="12.75" customHeight="1" x14ac:dyDescent="0.25">
      <c r="A91" s="269"/>
      <c r="B91" s="269" t="s">
        <v>86</v>
      </c>
      <c r="C91" s="204"/>
      <c r="D91" s="233"/>
      <c r="F91" s="203">
        <v>11</v>
      </c>
      <c r="G91" s="241">
        <f t="shared" si="5"/>
        <v>316.22776601683825</v>
      </c>
      <c r="H91" s="230" t="e">
        <f t="shared" si="6"/>
        <v>#VALUE!</v>
      </c>
      <c r="I91" s="200">
        <v>-8</v>
      </c>
      <c r="J91" s="231">
        <f t="shared" si="7"/>
        <v>0.01</v>
      </c>
      <c r="K91" s="230" t="e">
        <f>IF(ISBLANK($A$9),"", ($B$9/$C$9)*(1/($E$9*$D$9/(1+($V$9*J91/('Enzymes-fm,CYP from rCYPs'!$Z$10*($U$9+J91))))+(1-($E$9*$D$9)))))</f>
        <v>#VALUE!</v>
      </c>
      <c r="L91" s="201"/>
    </row>
    <row r="92" spans="1:12" ht="12.75" customHeight="1" x14ac:dyDescent="0.25">
      <c r="A92" s="270"/>
      <c r="B92" s="271" t="s">
        <v>261</v>
      </c>
      <c r="C92" s="204"/>
      <c r="D92" s="233"/>
      <c r="F92" s="203"/>
      <c r="G92" s="200"/>
      <c r="H92" s="200"/>
      <c r="I92" s="200">
        <v>-6</v>
      </c>
      <c r="J92" s="231">
        <f t="shared" si="7"/>
        <v>3.1622776601683784E-2</v>
      </c>
      <c r="K92" s="230" t="e">
        <f>IF(ISBLANK($A$9),"", ($B$9/$C$9)*(1/($E$9*$D$9/(1+($V$9*J92/('Enzymes-fm,CYP from rCYPs'!$Z$10*($U$9+J92))))+(1-($E$9*$D$9)))))</f>
        <v>#VALUE!</v>
      </c>
      <c r="L92" s="201"/>
    </row>
    <row r="93" spans="1:12" ht="12.75" customHeight="1" x14ac:dyDescent="0.25">
      <c r="A93" s="272"/>
      <c r="B93" s="265"/>
      <c r="C93" s="265"/>
      <c r="D93" s="266"/>
      <c r="F93" s="203"/>
      <c r="G93" s="200"/>
      <c r="H93" s="200"/>
      <c r="I93" s="200">
        <v>-4</v>
      </c>
      <c r="J93" s="231">
        <f t="shared" si="7"/>
        <v>0.1</v>
      </c>
      <c r="K93" s="230" t="e">
        <f>IF(ISBLANK($A$9),"", ($B$9/$C$9)*(1/($E$9*$D$9/(1+($V$9*J93/('Enzymes-fm,CYP from rCYPs'!$Z$10*($U$9+J93))))+(1-($E$9*$D$9)))))</f>
        <v>#VALUE!</v>
      </c>
      <c r="L93" s="201"/>
    </row>
    <row r="94" spans="1:12" ht="12.75" customHeight="1" x14ac:dyDescent="0.25">
      <c r="A94" s="258"/>
      <c r="B94" s="258"/>
      <c r="C94" s="258"/>
      <c r="D94" s="258"/>
      <c r="F94" s="203"/>
      <c r="G94" s="200"/>
      <c r="H94" s="200"/>
      <c r="I94" s="200">
        <v>-2</v>
      </c>
      <c r="J94" s="231">
        <f t="shared" si="7"/>
        <v>0.31622776601683794</v>
      </c>
      <c r="K94" s="230" t="e">
        <f>IF(ISBLANK($A$9),"", ($B$9/$C$9)*(1/($E$9*$D$9/(1+($V$9*J94/('Enzymes-fm,CYP from rCYPs'!$Z$10*($U$9+J94))))+(1-($E$9*$D$9)))))</f>
        <v>#VALUE!</v>
      </c>
      <c r="L94" s="201"/>
    </row>
    <row r="95" spans="1:12" ht="12.75" customHeight="1" x14ac:dyDescent="0.25">
      <c r="A95" s="258"/>
      <c r="B95" s="258"/>
      <c r="C95" s="258"/>
      <c r="D95" s="258"/>
      <c r="F95" s="203"/>
      <c r="G95" s="200"/>
      <c r="H95" s="200"/>
      <c r="I95" s="200">
        <v>0</v>
      </c>
      <c r="J95" s="231">
        <f t="shared" si="7"/>
        <v>1</v>
      </c>
      <c r="K95" s="230" t="e">
        <f>IF(ISBLANK($A$9),"", ($B$9/$C$9)*(1/($E$9*$D$9/(1+($V$9*J95/('Enzymes-fm,CYP from rCYPs'!$Z$10*($U$9+J95))))+(1-($E$9*$D$9)))))</f>
        <v>#VALUE!</v>
      </c>
      <c r="L95" s="201"/>
    </row>
    <row r="96" spans="1:12" ht="12.75" customHeight="1" x14ac:dyDescent="0.25">
      <c r="A96" s="258"/>
      <c r="B96" s="258"/>
      <c r="C96" s="258"/>
      <c r="D96" s="258"/>
      <c r="F96" s="203"/>
      <c r="G96" s="200"/>
      <c r="H96" s="200"/>
      <c r="I96" s="200">
        <v>2</v>
      </c>
      <c r="J96" s="231">
        <f t="shared" si="7"/>
        <v>3.1622776601683795</v>
      </c>
      <c r="K96" s="230" t="e">
        <f>IF(ISBLANK($A$9),"", ($B$9/$C$9)*(1/($E$9*$D$9/(1+($V$9*J96/('Enzymes-fm,CYP from rCYPs'!$Z$10*($U$9+J96))))+(1-($E$9*$D$9)))))</f>
        <v>#VALUE!</v>
      </c>
      <c r="L96" s="201"/>
    </row>
    <row r="97" spans="1:12" ht="12.75" customHeight="1" x14ac:dyDescent="0.25">
      <c r="A97" s="258"/>
      <c r="B97" s="258"/>
      <c r="C97" s="258"/>
      <c r="D97" s="258"/>
      <c r="F97" s="203"/>
      <c r="G97" s="200"/>
      <c r="H97" s="200"/>
      <c r="I97" s="200">
        <v>4</v>
      </c>
      <c r="J97" s="231">
        <f t="shared" si="7"/>
        <v>10</v>
      </c>
      <c r="K97" s="230" t="e">
        <f>IF(ISBLANK($A$9),"", ($B$9/$C$9)*(1/($E$9*$D$9/(1+($V$9*J97/('Enzymes-fm,CYP from rCYPs'!$Z$10*($U$9+J97))))+(1-($E$9*$D$9)))))</f>
        <v>#VALUE!</v>
      </c>
      <c r="L97" s="201"/>
    </row>
    <row r="98" spans="1:12" ht="12.75" customHeight="1" x14ac:dyDescent="0.25">
      <c r="A98" s="258"/>
      <c r="B98" s="258"/>
      <c r="C98" s="258"/>
      <c r="D98" s="258"/>
      <c r="F98" s="203"/>
      <c r="G98" s="200"/>
      <c r="H98" s="200"/>
      <c r="I98" s="200">
        <v>6</v>
      </c>
      <c r="J98" s="231">
        <f t="shared" si="7"/>
        <v>31.622776601683803</v>
      </c>
      <c r="K98" s="230" t="e">
        <f>IF(ISBLANK($A$9),"", ($B$9/$C$9)*(1/($E$9*$D$9/(1+($V$9*J98/('Enzymes-fm,CYP from rCYPs'!$Z$10*($U$9+J98))))+(1-($E$9*$D$9)))))</f>
        <v>#VALUE!</v>
      </c>
      <c r="L98" s="201"/>
    </row>
    <row r="99" spans="1:12" ht="12.75" customHeight="1" x14ac:dyDescent="0.25">
      <c r="A99" s="258"/>
      <c r="B99" s="258"/>
      <c r="C99" s="258"/>
      <c r="D99" s="258"/>
      <c r="F99" s="203"/>
      <c r="G99" s="200"/>
      <c r="H99" s="200"/>
      <c r="I99" s="200">
        <v>8</v>
      </c>
      <c r="J99" s="231">
        <f t="shared" si="7"/>
        <v>100</v>
      </c>
      <c r="K99" s="230" t="e">
        <f>IF(ISBLANK($A$9),"", ($B$9/$C$9)*(1/($E$9*$D$9/(1+($V$9*J99/('Enzymes-fm,CYP from rCYPs'!$Z$10*($U$9+J99))))+(1-($E$9*$D$9)))))</f>
        <v>#VALUE!</v>
      </c>
      <c r="L99" s="201"/>
    </row>
    <row r="100" spans="1:12" ht="12.75" customHeight="1" x14ac:dyDescent="0.25">
      <c r="A100" s="258"/>
      <c r="B100" s="258"/>
      <c r="C100" s="258"/>
      <c r="D100" s="258"/>
      <c r="F100" s="255"/>
      <c r="G100" s="256"/>
      <c r="H100" s="256"/>
      <c r="I100" s="256"/>
      <c r="J100" s="256"/>
      <c r="K100" s="256"/>
      <c r="L100" s="257"/>
    </row>
    <row r="101" spans="1:12" ht="12.75" customHeight="1" x14ac:dyDescent="0.25">
      <c r="A101" s="258"/>
      <c r="B101" s="258"/>
      <c r="C101" s="258"/>
      <c r="D101" s="258"/>
    </row>
    <row r="102" spans="1:12" ht="12.75" customHeight="1" x14ac:dyDescent="0.25">
      <c r="A102" s="258"/>
      <c r="B102" s="258"/>
      <c r="C102" s="258"/>
      <c r="D102" s="258"/>
    </row>
    <row r="103" spans="1:12" ht="12.75" customHeight="1" x14ac:dyDescent="0.25">
      <c r="A103" s="258"/>
      <c r="B103" s="258"/>
      <c r="C103" s="258"/>
      <c r="D103" s="258"/>
    </row>
    <row r="104" spans="1:12" ht="12.75" customHeight="1" x14ac:dyDescent="0.25"/>
    <row r="105" spans="1:12" ht="12.75" customHeight="1" x14ac:dyDescent="0.25"/>
    <row r="106" spans="1:12" ht="12.75" customHeight="1" x14ac:dyDescent="0.25"/>
    <row r="107" spans="1:12" ht="12.75" customHeight="1" x14ac:dyDescent="0.25"/>
    <row r="108" spans="1:12" ht="12.75" customHeight="1" x14ac:dyDescent="0.25"/>
    <row r="109" spans="1:12" ht="12.75" customHeight="1" x14ac:dyDescent="0.25"/>
    <row r="110" spans="1:12" ht="12.75" customHeight="1" x14ac:dyDescent="0.25"/>
    <row r="111" spans="1:12" ht="12.75" customHeight="1" x14ac:dyDescent="0.25"/>
    <row r="112" spans="1: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</sheetData>
  <mergeCells count="37">
    <mergeCell ref="B3:C3"/>
    <mergeCell ref="A7:A8"/>
    <mergeCell ref="J70:J71"/>
    <mergeCell ref="J26:J27"/>
    <mergeCell ref="K26:K27"/>
    <mergeCell ref="C43:C44"/>
    <mergeCell ref="J49:K49"/>
    <mergeCell ref="C26:C27"/>
    <mergeCell ref="K70:K71"/>
    <mergeCell ref="A12:A13"/>
    <mergeCell ref="A15:A16"/>
    <mergeCell ref="G65:G66"/>
    <mergeCell ref="D26:D27"/>
    <mergeCell ref="D43:D44"/>
    <mergeCell ref="J86:J87"/>
    <mergeCell ref="K86:K87"/>
    <mergeCell ref="Q26:Q27"/>
    <mergeCell ref="V26:V27"/>
    <mergeCell ref="H65:H66"/>
    <mergeCell ref="G49:H49"/>
    <mergeCell ref="J43:J44"/>
    <mergeCell ref="K43:K44"/>
    <mergeCell ref="V43:V44"/>
    <mergeCell ref="AC7:AC8"/>
    <mergeCell ref="AD7:AD8"/>
    <mergeCell ref="Z7:Z8"/>
    <mergeCell ref="F6:R6"/>
    <mergeCell ref="B49:D49"/>
    <mergeCell ref="Q43:Q44"/>
    <mergeCell ref="U6:V6"/>
    <mergeCell ref="W6:AD6"/>
    <mergeCell ref="Y7:Y8"/>
    <mergeCell ref="AA7:AA8"/>
    <mergeCell ref="AB7:AB8"/>
    <mergeCell ref="B6:E6"/>
    <mergeCell ref="B7:B8"/>
    <mergeCell ref="X7:X8"/>
  </mergeCells>
  <conditionalFormatting sqref="A3:A4 D3 B4:D4">
    <cfRule type="containsText" dxfId="2" priority="4" stopIfTrue="1" operator="containsText" text="TDI">
      <formula>NOT(ISERROR(SEARCH("TDI",A3)))</formula>
    </cfRule>
    <cfRule type="containsText" dxfId="1" priority="5" stopIfTrue="1" operator="containsText" text="Rev">
      <formula>NOT(ISERROR(SEARCH("Rev",A3)))</formula>
    </cfRule>
    <cfRule type="containsText" dxfId="0" priority="6" stopIfTrue="1" operator="containsText" text="Victim">
      <formula>NOT(ISERROR(SEARCH("Victim",A3)))</formula>
    </cfRule>
  </conditionalFormatting>
  <dataValidations count="4">
    <dataValidation type="list" allowBlank="1" showInputMessage="1" showErrorMessage="1" sqref="D4" xr:uid="{00000000-0002-0000-0200-000000000000}">
      <formula1>$A$86:$A$88</formula1>
    </dataValidation>
    <dataValidation type="list" allowBlank="1" showInputMessage="1" showErrorMessage="1" sqref="B4" xr:uid="{00000000-0002-0000-0200-000001000000}">
      <formula1>$B$49:$B$67</formula1>
    </dataValidation>
    <dataValidation type="list" allowBlank="1" showInputMessage="1" showErrorMessage="1" sqref="A4" xr:uid="{00000000-0002-0000-0200-000002000000}">
      <formula1>$A$79:$A$82</formula1>
    </dataValidation>
    <dataValidation type="list" allowBlank="1" showInputMessage="1" showErrorMessage="1" sqref="C4" xr:uid="{00000000-0002-0000-0200-000003000000}">
      <formula1>$A$49:$A$75</formula1>
    </dataValidation>
  </dataValidations>
  <pageMargins left="0.75" right="0.75" top="1" bottom="1" header="0.5" footer="0.5"/>
  <pageSetup paperSize="9" scale="8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225" r:id="rId4" name="Scroll Bar 1">
              <controlPr defaultSize="0" autoPict="0">
                <anchor moveWithCells="1">
                  <from>
                    <xdr:col>1</xdr:col>
                    <xdr:colOff>215900</xdr:colOff>
                    <xdr:row>23</xdr:row>
                    <xdr:rowOff>50800</xdr:rowOff>
                  </from>
                  <to>
                    <xdr:col>5</xdr:col>
                    <xdr:colOff>177800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6" r:id="rId5" name="Scroll Bar 2">
              <controlPr defaultSize="0" autoPict="0">
                <anchor moveWithCells="1">
                  <from>
                    <xdr:col>7</xdr:col>
                    <xdr:colOff>6350</xdr:colOff>
                    <xdr:row>23</xdr:row>
                    <xdr:rowOff>50800</xdr:rowOff>
                  </from>
                  <to>
                    <xdr:col>11</xdr:col>
                    <xdr:colOff>565150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7" r:id="rId6" name="Scroll Bar 3">
              <controlPr defaultSize="0" autoPict="0">
                <anchor moveWithCells="1">
                  <from>
                    <xdr:col>13</xdr:col>
                    <xdr:colOff>152400</xdr:colOff>
                    <xdr:row>23</xdr:row>
                    <xdr:rowOff>38100</xdr:rowOff>
                  </from>
                  <to>
                    <xdr:col>22</xdr:col>
                    <xdr:colOff>476250</xdr:colOff>
                    <xdr:row>24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29" r:id="rId7" name="Scroll Bar 5">
              <controlPr defaultSize="0" autoPict="0">
                <anchor moveWithCells="1">
                  <from>
                    <xdr:col>6</xdr:col>
                    <xdr:colOff>171450</xdr:colOff>
                    <xdr:row>40</xdr:row>
                    <xdr:rowOff>101600</xdr:rowOff>
                  </from>
                  <to>
                    <xdr:col>11</xdr:col>
                    <xdr:colOff>495300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30" r:id="rId8" name="Scroll Bar 6">
              <controlPr defaultSize="0" autoPict="0">
                <anchor moveWithCells="1">
                  <from>
                    <xdr:col>13</xdr:col>
                    <xdr:colOff>95250</xdr:colOff>
                    <xdr:row>40</xdr:row>
                    <xdr:rowOff>101600</xdr:rowOff>
                  </from>
                  <to>
                    <xdr:col>22</xdr:col>
                    <xdr:colOff>381000</xdr:colOff>
                    <xdr:row>41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91" r:id="rId9" name="Scroll Bar 267">
              <controlPr defaultSize="0" autoPict="0">
                <anchor moveWithCells="1">
                  <from>
                    <xdr:col>1</xdr:col>
                    <xdr:colOff>158750</xdr:colOff>
                    <xdr:row>40</xdr:row>
                    <xdr:rowOff>127000</xdr:rowOff>
                  </from>
                  <to>
                    <xdr:col>5</xdr:col>
                    <xdr:colOff>209550</xdr:colOff>
                    <xdr:row>41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R52"/>
  <sheetViews>
    <sheetView workbookViewId="0">
      <selection activeCell="G17" sqref="G17"/>
    </sheetView>
  </sheetViews>
  <sheetFormatPr defaultRowHeight="14" x14ac:dyDescent="0.3"/>
  <cols>
    <col min="1" max="1" width="8.58203125" customWidth="1"/>
    <col min="2" max="2" width="7.58203125" customWidth="1"/>
    <col min="3" max="3" width="9.5" customWidth="1"/>
    <col min="4" max="4" width="9.08203125" customWidth="1"/>
    <col min="5" max="5" width="7.83203125" customWidth="1"/>
    <col min="6" max="6" width="12.25" customWidth="1"/>
    <col min="8" max="8" width="9.25" customWidth="1"/>
    <col min="9" max="9" width="10.25" customWidth="1"/>
    <col min="11" max="11" width="2.08203125" style="37" customWidth="1"/>
    <col min="12" max="12" width="1.83203125" customWidth="1"/>
    <col min="14" max="14" width="8.5" customWidth="1"/>
    <col min="18" max="18" width="5" style="286" customWidth="1"/>
    <col min="19" max="19" width="1.58203125" customWidth="1"/>
  </cols>
  <sheetData>
    <row r="1" spans="1:44" ht="16" x14ac:dyDescent="0.4">
      <c r="A1" s="35" t="s">
        <v>401</v>
      </c>
      <c r="B1" s="13"/>
      <c r="C1" s="15"/>
      <c r="D1" s="13"/>
      <c r="E1" s="13"/>
      <c r="F1" s="70" t="s">
        <v>209</v>
      </c>
      <c r="G1" s="13"/>
      <c r="H1" s="13"/>
      <c r="I1" s="13"/>
      <c r="J1" s="15"/>
      <c r="K1" s="40"/>
      <c r="L1" s="35" t="s">
        <v>217</v>
      </c>
      <c r="M1" s="13"/>
      <c r="N1" s="13"/>
      <c r="O1" s="13"/>
      <c r="P1" s="13"/>
      <c r="Q1" s="13"/>
      <c r="R1" s="17"/>
      <c r="S1" s="288"/>
    </row>
    <row r="2" spans="1:44" ht="18.75" customHeight="1" x14ac:dyDescent="0.35">
      <c r="A2" s="16"/>
      <c r="B2" s="17"/>
      <c r="C2" s="17"/>
      <c r="D2" s="17"/>
      <c r="E2" s="17"/>
      <c r="F2" s="71" t="s">
        <v>3</v>
      </c>
      <c r="G2" s="17"/>
      <c r="H2" s="17"/>
      <c r="I2" s="17"/>
      <c r="J2" s="19"/>
      <c r="K2" s="40"/>
      <c r="L2" s="16"/>
      <c r="M2" s="75" t="s">
        <v>354</v>
      </c>
      <c r="N2" s="76"/>
      <c r="O2" s="76"/>
      <c r="P2" s="83" t="s">
        <v>207</v>
      </c>
      <c r="Q2" s="79"/>
      <c r="R2" s="80"/>
      <c r="S2" s="19"/>
    </row>
    <row r="3" spans="1:44" ht="17.5" x14ac:dyDescent="0.4">
      <c r="A3" s="16"/>
      <c r="B3" s="17"/>
      <c r="C3" s="17"/>
      <c r="D3" s="17"/>
      <c r="E3" s="17"/>
      <c r="F3" s="69" t="s">
        <v>358</v>
      </c>
      <c r="G3" s="17"/>
      <c r="H3" s="17"/>
      <c r="I3" s="17"/>
      <c r="J3" s="19"/>
      <c r="K3" s="40"/>
      <c r="L3" s="16"/>
      <c r="M3" s="72" t="s">
        <v>356</v>
      </c>
      <c r="N3" s="73"/>
      <c r="O3" s="73"/>
      <c r="P3" s="84" t="s">
        <v>72</v>
      </c>
      <c r="Q3" s="74"/>
      <c r="R3" s="77"/>
      <c r="S3" s="19"/>
    </row>
    <row r="4" spans="1:44" ht="15" customHeight="1" x14ac:dyDescent="0.4">
      <c r="A4" s="20"/>
      <c r="B4" s="17"/>
      <c r="C4" s="17"/>
      <c r="D4" s="17"/>
      <c r="E4" s="17"/>
      <c r="F4" s="69" t="s">
        <v>357</v>
      </c>
      <c r="G4" s="17"/>
      <c r="H4" s="17"/>
      <c r="I4" s="17"/>
      <c r="J4" s="19"/>
      <c r="K4" s="40"/>
      <c r="L4" s="16"/>
      <c r="M4" s="72"/>
      <c r="N4" s="74"/>
      <c r="P4" s="85" t="s">
        <v>73</v>
      </c>
      <c r="Q4" s="81"/>
      <c r="R4" s="82"/>
      <c r="S4" s="19"/>
    </row>
    <row r="5" spans="1:44" ht="16" x14ac:dyDescent="0.4">
      <c r="A5" s="22"/>
      <c r="B5" s="17"/>
      <c r="C5" s="17"/>
      <c r="D5" s="17"/>
      <c r="E5" s="17"/>
      <c r="F5" s="69" t="s">
        <v>215</v>
      </c>
      <c r="G5" s="17"/>
      <c r="H5" s="17"/>
      <c r="I5" s="17"/>
      <c r="J5" s="19"/>
      <c r="K5" s="40"/>
      <c r="L5" s="16"/>
      <c r="M5" s="72" t="s">
        <v>355</v>
      </c>
      <c r="N5" s="73"/>
      <c r="O5" s="73"/>
      <c r="P5" s="73"/>
      <c r="Q5" s="73"/>
      <c r="R5" s="77"/>
      <c r="S5" s="19"/>
    </row>
    <row r="6" spans="1:44" ht="16" x14ac:dyDescent="0.4">
      <c r="A6" s="16"/>
      <c r="B6" s="17"/>
      <c r="C6" s="17"/>
      <c r="D6" s="17"/>
      <c r="E6" s="17"/>
      <c r="F6" s="69" t="s">
        <v>216</v>
      </c>
      <c r="G6" s="17"/>
      <c r="H6" s="17"/>
      <c r="I6" s="17"/>
      <c r="J6" s="19"/>
      <c r="K6" s="40"/>
      <c r="L6" s="16"/>
      <c r="M6" s="72" t="s">
        <v>218</v>
      </c>
      <c r="N6" s="73"/>
      <c r="O6" s="73"/>
      <c r="P6" s="73"/>
      <c r="Q6" s="73"/>
      <c r="R6" s="77"/>
      <c r="S6" s="19"/>
    </row>
    <row r="7" spans="1:44" ht="15.75" customHeight="1" x14ac:dyDescent="0.4">
      <c r="A7" s="16"/>
      <c r="B7" s="17"/>
      <c r="C7" s="17"/>
      <c r="D7" s="17"/>
      <c r="E7" s="17"/>
      <c r="F7" s="69" t="s">
        <v>210</v>
      </c>
      <c r="G7" s="17"/>
      <c r="H7" s="17"/>
      <c r="I7" s="17"/>
      <c r="J7" s="19"/>
      <c r="K7" s="40"/>
      <c r="L7" s="16"/>
      <c r="M7" s="72" t="s">
        <v>337</v>
      </c>
      <c r="N7" s="73"/>
      <c r="O7" s="73"/>
      <c r="P7" s="74"/>
      <c r="Q7" s="74"/>
      <c r="R7" s="77"/>
      <c r="S7" s="19"/>
    </row>
    <row r="8" spans="1:44" ht="14.25" customHeight="1" x14ac:dyDescent="0.4">
      <c r="A8" s="16"/>
      <c r="B8" s="17"/>
      <c r="C8" s="17"/>
      <c r="D8" s="17"/>
      <c r="E8" s="17"/>
      <c r="F8" s="69" t="s">
        <v>211</v>
      </c>
      <c r="G8" s="17"/>
      <c r="H8" s="17"/>
      <c r="I8" s="17"/>
      <c r="J8" s="19"/>
      <c r="K8" s="40"/>
      <c r="L8" s="16"/>
      <c r="M8" s="72"/>
      <c r="N8" s="73"/>
      <c r="O8" s="73"/>
      <c r="P8" s="74"/>
      <c r="Q8" s="74"/>
      <c r="R8" s="77"/>
      <c r="S8" s="19"/>
    </row>
    <row r="9" spans="1:44" ht="15.75" customHeight="1" x14ac:dyDescent="0.35">
      <c r="A9" s="16"/>
      <c r="B9" s="17"/>
      <c r="C9" s="17"/>
      <c r="D9" s="17"/>
      <c r="E9" s="17"/>
      <c r="F9" s="68"/>
      <c r="G9" s="17"/>
      <c r="H9" s="17"/>
      <c r="I9" s="17"/>
      <c r="J9" s="19"/>
      <c r="K9" s="40"/>
      <c r="L9" s="16"/>
      <c r="M9" s="72" t="s">
        <v>236</v>
      </c>
      <c r="N9" s="73"/>
      <c r="O9" s="73"/>
      <c r="P9" s="74"/>
      <c r="Q9" s="74"/>
      <c r="R9" s="77"/>
      <c r="S9" s="19"/>
    </row>
    <row r="10" spans="1:44" s="3" customFormat="1" ht="5.25" customHeight="1" x14ac:dyDescent="0.3">
      <c r="A10" s="16"/>
      <c r="B10" s="17"/>
      <c r="C10" s="17"/>
      <c r="D10" s="17"/>
      <c r="E10" s="17"/>
      <c r="F10" s="68"/>
      <c r="G10" s="17"/>
      <c r="H10" s="17"/>
      <c r="I10" s="17"/>
      <c r="J10" s="19"/>
      <c r="K10" s="40"/>
      <c r="L10" s="16"/>
      <c r="M10" s="174"/>
      <c r="N10" s="78"/>
      <c r="O10" s="78"/>
      <c r="P10" s="81"/>
      <c r="Q10" s="81"/>
      <c r="R10" s="82"/>
      <c r="S10" s="1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ht="12.75" customHeight="1" x14ac:dyDescent="0.3">
      <c r="A11" s="24"/>
      <c r="B11" s="25"/>
      <c r="C11" s="25"/>
      <c r="D11" s="25"/>
      <c r="E11" s="25"/>
      <c r="F11" s="25" t="s">
        <v>48</v>
      </c>
      <c r="G11" s="25"/>
      <c r="H11" s="25"/>
      <c r="I11" s="25"/>
      <c r="J11" s="26"/>
      <c r="K11" s="40"/>
      <c r="L11" s="24"/>
      <c r="M11" s="25"/>
      <c r="N11" s="25"/>
      <c r="O11" s="25"/>
      <c r="P11" s="25"/>
      <c r="Q11" s="25"/>
      <c r="R11" s="287"/>
      <c r="S11" s="26"/>
    </row>
    <row r="12" spans="1:44" ht="4.5" customHeight="1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0"/>
      <c r="L12" s="43"/>
      <c r="M12" s="43"/>
      <c r="N12" s="43"/>
      <c r="O12" s="43"/>
      <c r="P12" s="43"/>
      <c r="Q12" s="43"/>
      <c r="R12" s="43"/>
      <c r="S12" s="41"/>
    </row>
    <row r="13" spans="1:44" ht="14.25" customHeight="1" x14ac:dyDescent="0.3">
      <c r="A13" s="35" t="s">
        <v>381</v>
      </c>
      <c r="B13" s="13"/>
      <c r="C13" s="13"/>
      <c r="D13" s="13"/>
      <c r="E13" s="13"/>
      <c r="F13" s="13"/>
      <c r="G13" s="14"/>
      <c r="H13" s="13"/>
      <c r="I13" s="13"/>
      <c r="J13" s="15"/>
      <c r="K13" s="40"/>
      <c r="L13" s="43"/>
      <c r="M13" s="43"/>
      <c r="N13" s="43"/>
      <c r="O13" s="43"/>
      <c r="P13" s="43"/>
      <c r="Q13" s="43"/>
      <c r="R13" s="43"/>
      <c r="S13" s="289"/>
    </row>
    <row r="14" spans="1:44" ht="14.25" customHeight="1" x14ac:dyDescent="0.35">
      <c r="A14" s="16"/>
      <c r="B14" s="17"/>
      <c r="C14" s="17"/>
      <c r="D14" s="17"/>
      <c r="E14" s="17"/>
      <c r="F14" s="17"/>
      <c r="G14" s="69"/>
      <c r="H14" s="17"/>
      <c r="I14" s="17"/>
      <c r="J14" s="19"/>
      <c r="K14" s="40"/>
      <c r="L14" s="43"/>
      <c r="M14" s="43"/>
      <c r="N14" s="43"/>
      <c r="O14" s="43"/>
      <c r="P14" s="43"/>
      <c r="Q14" s="43"/>
      <c r="R14" s="43"/>
      <c r="S14" s="290"/>
    </row>
    <row r="15" spans="1:44" ht="14.25" customHeight="1" x14ac:dyDescent="0.35">
      <c r="A15" s="20"/>
      <c r="B15" s="17"/>
      <c r="C15" s="17"/>
      <c r="D15" s="17"/>
      <c r="E15" s="17"/>
      <c r="F15" s="17"/>
      <c r="G15" s="69"/>
      <c r="H15" s="17"/>
      <c r="I15" s="17"/>
      <c r="J15" s="19"/>
      <c r="K15" s="40"/>
      <c r="L15" s="43"/>
      <c r="M15" s="43"/>
      <c r="N15" s="43"/>
      <c r="O15" s="43"/>
      <c r="P15" s="43"/>
      <c r="Q15" s="43"/>
      <c r="R15" s="43"/>
      <c r="S15" s="290"/>
    </row>
    <row r="16" spans="1:44" ht="14.25" customHeight="1" x14ac:dyDescent="0.35">
      <c r="A16" s="22"/>
      <c r="B16" s="17"/>
      <c r="C16" s="17"/>
      <c r="D16" s="17"/>
      <c r="E16" s="17"/>
      <c r="F16" s="17"/>
      <c r="G16" s="69"/>
      <c r="H16" s="17"/>
      <c r="I16" s="17"/>
      <c r="J16" s="19"/>
      <c r="K16" s="40"/>
      <c r="L16" s="43"/>
      <c r="M16" s="43"/>
      <c r="N16" s="43"/>
      <c r="O16" s="43"/>
      <c r="P16" s="43"/>
      <c r="Q16" s="43"/>
      <c r="R16" s="43"/>
      <c r="S16" s="290"/>
    </row>
    <row r="17" spans="1:43" ht="14.25" customHeight="1" x14ac:dyDescent="0.3">
      <c r="A17" s="16"/>
      <c r="B17" s="17"/>
      <c r="C17" s="17"/>
      <c r="D17" s="17"/>
      <c r="E17" s="17"/>
      <c r="F17" s="17"/>
      <c r="G17" s="68"/>
      <c r="H17" s="17"/>
      <c r="I17" s="17"/>
      <c r="J17" s="19"/>
      <c r="K17" s="40"/>
      <c r="L17" s="43"/>
      <c r="M17" s="43"/>
      <c r="N17" s="43"/>
      <c r="O17" s="43"/>
      <c r="P17" s="43"/>
      <c r="Q17" s="43"/>
      <c r="R17" s="43"/>
      <c r="S17" s="290"/>
    </row>
    <row r="18" spans="1:43" ht="14.25" customHeight="1" x14ac:dyDescent="0.3">
      <c r="A18" s="16"/>
      <c r="B18" s="17"/>
      <c r="C18" s="17"/>
      <c r="D18" s="17"/>
      <c r="E18" s="17"/>
      <c r="F18" s="17"/>
      <c r="G18" s="18"/>
      <c r="H18" s="17"/>
      <c r="I18" s="17"/>
      <c r="J18" s="19"/>
      <c r="K18" s="40"/>
      <c r="L18" s="43"/>
      <c r="M18" s="43"/>
      <c r="N18" s="43"/>
      <c r="O18" s="43"/>
      <c r="P18" s="43"/>
      <c r="Q18" s="43"/>
      <c r="R18" s="43"/>
      <c r="S18" s="41"/>
    </row>
    <row r="19" spans="1:43" ht="14.25" customHeight="1" x14ac:dyDescent="0.3">
      <c r="A19" s="16"/>
      <c r="B19" s="17"/>
      <c r="C19" s="17"/>
      <c r="D19" s="17"/>
      <c r="E19" s="17"/>
      <c r="F19" s="17"/>
      <c r="G19" s="21"/>
      <c r="H19" s="17"/>
      <c r="I19" s="17"/>
      <c r="J19" s="19"/>
      <c r="K19" s="40"/>
      <c r="L19" s="43"/>
      <c r="M19" s="43"/>
      <c r="N19" s="43"/>
      <c r="O19" s="43"/>
      <c r="P19" s="43"/>
      <c r="Q19" s="43"/>
      <c r="R19" s="43"/>
      <c r="S19" s="41"/>
    </row>
    <row r="20" spans="1:43" s="3" customFormat="1" ht="14.25" customHeight="1" x14ac:dyDescent="0.3">
      <c r="A20" s="16"/>
      <c r="B20" s="23"/>
      <c r="C20" s="23"/>
      <c r="D20" s="17"/>
      <c r="E20" s="17"/>
      <c r="F20" s="17"/>
      <c r="G20" s="21"/>
      <c r="H20" s="17"/>
      <c r="I20" s="17"/>
      <c r="J20" s="19"/>
      <c r="K20" s="40"/>
      <c r="L20" s="43"/>
      <c r="M20" s="43"/>
      <c r="N20" s="43"/>
      <c r="O20" s="43"/>
      <c r="P20" s="43"/>
      <c r="Q20" s="43"/>
      <c r="R20" s="43"/>
      <c r="S20" s="41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2.75" customHeigh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0"/>
      <c r="L21" s="43"/>
      <c r="M21" s="43"/>
      <c r="N21" s="43"/>
      <c r="O21" s="43"/>
      <c r="P21" s="43"/>
      <c r="Q21" s="43"/>
      <c r="S21" s="41"/>
    </row>
    <row r="22" spans="1:43" ht="4.5" customHeight="1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0"/>
      <c r="L22" s="43"/>
      <c r="M22" s="43"/>
      <c r="N22" s="43"/>
      <c r="O22" s="43"/>
      <c r="P22" s="43"/>
      <c r="Q22" s="43"/>
      <c r="R22" s="43"/>
      <c r="S22" s="41"/>
    </row>
    <row r="23" spans="1:43" ht="17.25" customHeight="1" x14ac:dyDescent="0.3">
      <c r="A23" s="35" t="s">
        <v>380</v>
      </c>
      <c r="B23" s="13"/>
      <c r="C23" s="13"/>
      <c r="D23" s="13"/>
      <c r="E23" s="13"/>
      <c r="F23" s="13"/>
      <c r="G23" s="14"/>
      <c r="H23" s="13"/>
      <c r="I23" s="13"/>
      <c r="J23" s="15"/>
      <c r="K23" s="40"/>
      <c r="L23" s="43"/>
      <c r="M23" s="43"/>
      <c r="N23" s="43"/>
      <c r="O23" s="43"/>
      <c r="P23" s="43"/>
      <c r="Q23" s="43"/>
      <c r="R23" s="43"/>
      <c r="S23" s="41"/>
    </row>
    <row r="24" spans="1:43" ht="14.25" customHeight="1" x14ac:dyDescent="0.4">
      <c r="A24" s="16"/>
      <c r="B24" s="17"/>
      <c r="C24" s="17"/>
      <c r="D24" s="17"/>
      <c r="E24" s="17"/>
      <c r="F24" s="17"/>
      <c r="G24" s="69" t="s">
        <v>212</v>
      </c>
      <c r="H24" s="17"/>
      <c r="I24" s="17"/>
      <c r="J24" s="19"/>
      <c r="K24" s="40"/>
      <c r="L24" s="291"/>
      <c r="M24" s="79"/>
      <c r="N24" s="194"/>
      <c r="O24" s="194"/>
      <c r="P24" s="194"/>
      <c r="Q24" s="79"/>
      <c r="R24" s="292"/>
      <c r="S24" s="41"/>
    </row>
    <row r="25" spans="1:43" ht="14.25" customHeight="1" x14ac:dyDescent="0.4">
      <c r="A25" s="20"/>
      <c r="B25" s="17"/>
      <c r="C25" s="17"/>
      <c r="D25" s="17"/>
      <c r="E25" s="17"/>
      <c r="F25" s="17"/>
      <c r="G25" s="69" t="s">
        <v>213</v>
      </c>
      <c r="H25" s="17"/>
      <c r="I25" s="17"/>
      <c r="J25" s="19"/>
      <c r="K25" s="40"/>
      <c r="L25" s="293" t="s">
        <v>50</v>
      </c>
      <c r="M25" s="40"/>
      <c r="N25" s="61"/>
      <c r="O25" s="61"/>
      <c r="P25" s="61"/>
      <c r="Q25" s="43"/>
      <c r="R25" s="41"/>
      <c r="S25" s="41"/>
    </row>
    <row r="26" spans="1:43" ht="14.25" customHeight="1" x14ac:dyDescent="0.4">
      <c r="A26" s="22"/>
      <c r="B26" s="17"/>
      <c r="C26" s="17"/>
      <c r="D26" s="17"/>
      <c r="E26" s="17"/>
      <c r="F26" s="17"/>
      <c r="G26" s="69" t="s">
        <v>214</v>
      </c>
      <c r="H26" s="17"/>
      <c r="I26" s="17"/>
      <c r="J26" s="19"/>
      <c r="K26" s="40"/>
      <c r="L26" s="84">
        <v>1</v>
      </c>
      <c r="M26" s="40" t="s">
        <v>206</v>
      </c>
      <c r="N26" s="61"/>
      <c r="O26" s="61"/>
      <c r="P26" s="61"/>
      <c r="Q26" s="43"/>
      <c r="R26" s="41"/>
      <c r="S26" s="41"/>
    </row>
    <row r="27" spans="1:43" ht="14.25" customHeight="1" x14ac:dyDescent="0.3">
      <c r="A27" s="16"/>
      <c r="B27" s="17"/>
      <c r="C27" s="17"/>
      <c r="D27" s="17"/>
      <c r="E27" s="17"/>
      <c r="F27" s="17"/>
      <c r="G27" s="68" t="s">
        <v>208</v>
      </c>
      <c r="H27" s="17"/>
      <c r="I27" s="17"/>
      <c r="J27" s="19"/>
      <c r="K27" s="40"/>
      <c r="L27" s="84">
        <v>2</v>
      </c>
      <c r="M27" s="40" t="s">
        <v>53</v>
      </c>
      <c r="N27" s="61"/>
      <c r="O27" s="61"/>
      <c r="P27" s="61"/>
      <c r="Q27" s="43"/>
      <c r="R27" s="41"/>
      <c r="S27" s="41"/>
    </row>
    <row r="28" spans="1:43" ht="14.25" customHeight="1" x14ac:dyDescent="0.3">
      <c r="A28" s="16"/>
      <c r="B28" s="17"/>
      <c r="C28" s="17"/>
      <c r="D28" s="17"/>
      <c r="E28" s="17"/>
      <c r="F28" s="17"/>
      <c r="G28" s="18"/>
      <c r="H28" s="17"/>
      <c r="I28" s="17"/>
      <c r="J28" s="19"/>
      <c r="K28" s="40"/>
      <c r="L28" s="84">
        <v>3</v>
      </c>
      <c r="M28" s="40" t="s">
        <v>54</v>
      </c>
      <c r="N28" s="43"/>
      <c r="O28" s="43"/>
      <c r="P28" s="43"/>
      <c r="Q28" s="43"/>
      <c r="R28" s="41"/>
      <c r="S28" s="41"/>
    </row>
    <row r="29" spans="1:43" ht="14.25" customHeight="1" x14ac:dyDescent="0.3">
      <c r="A29" s="16"/>
      <c r="B29" s="17"/>
      <c r="C29" s="17"/>
      <c r="D29" s="17"/>
      <c r="E29" s="17"/>
      <c r="F29" s="17"/>
      <c r="G29" s="21"/>
      <c r="H29" s="17"/>
      <c r="I29" s="17"/>
      <c r="J29" s="19"/>
      <c r="K29" s="40"/>
      <c r="L29" s="84">
        <v>4</v>
      </c>
      <c r="M29" s="40" t="s">
        <v>68</v>
      </c>
      <c r="N29" s="43"/>
      <c r="O29" s="43"/>
      <c r="P29" s="43"/>
      <c r="Q29" s="43"/>
      <c r="R29" s="41"/>
      <c r="S29" s="41"/>
    </row>
    <row r="30" spans="1:43" ht="14.25" customHeight="1" x14ac:dyDescent="0.3">
      <c r="A30" s="16"/>
      <c r="B30" s="23"/>
      <c r="C30" s="23"/>
      <c r="D30" s="17"/>
      <c r="E30" s="17"/>
      <c r="F30" s="17"/>
      <c r="G30" s="21"/>
      <c r="H30" s="17"/>
      <c r="I30" s="17"/>
      <c r="J30" s="19"/>
      <c r="K30" s="40"/>
      <c r="L30" s="42"/>
      <c r="M30" s="43"/>
      <c r="N30" s="43"/>
      <c r="O30" s="43"/>
      <c r="P30" s="43"/>
      <c r="Q30" s="43"/>
      <c r="R30" s="41"/>
      <c r="S30" s="41"/>
    </row>
    <row r="31" spans="1:43" s="3" customFormat="1" ht="14.25" customHeight="1" x14ac:dyDescent="0.3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40"/>
      <c r="L31" s="174"/>
      <c r="M31" s="44"/>
      <c r="N31" s="44"/>
      <c r="O31" s="44"/>
      <c r="P31" s="44"/>
      <c r="Q31" s="44"/>
      <c r="R31" s="45"/>
      <c r="S31" s="4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3" customFormat="1" ht="7.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0"/>
      <c r="L32" s="43"/>
      <c r="M32" s="43"/>
      <c r="N32" s="43"/>
      <c r="O32" s="43"/>
      <c r="P32" s="43"/>
      <c r="Q32" s="43"/>
      <c r="R32" s="43"/>
      <c r="S32" s="4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3" customFormat="1" ht="16.5" customHeight="1" x14ac:dyDescent="0.3">
      <c r="A33" s="35" t="s">
        <v>379</v>
      </c>
      <c r="B33" s="13"/>
      <c r="C33" s="13"/>
      <c r="D33" s="13"/>
      <c r="E33" s="13"/>
      <c r="F33" s="13"/>
      <c r="G33" s="14"/>
      <c r="H33" s="13"/>
      <c r="I33" s="13"/>
      <c r="J33" s="15"/>
      <c r="K33" s="40"/>
      <c r="L33" s="43"/>
      <c r="M33" s="43"/>
      <c r="N33" s="43"/>
      <c r="O33" s="43"/>
      <c r="P33" s="43"/>
      <c r="Q33" s="43"/>
      <c r="R33" s="43"/>
      <c r="S33" s="4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3" customFormat="1" ht="16.5" customHeight="1" x14ac:dyDescent="0.3">
      <c r="A34" s="16"/>
      <c r="B34" s="17"/>
      <c r="C34" s="17"/>
      <c r="D34" s="17"/>
      <c r="E34" s="17"/>
      <c r="F34" s="17"/>
      <c r="G34" s="21"/>
      <c r="H34" s="17"/>
      <c r="I34" s="17"/>
      <c r="J34" s="19"/>
      <c r="K34" s="40"/>
      <c r="L34" s="43"/>
      <c r="M34" s="43"/>
      <c r="N34" s="43"/>
      <c r="O34" s="43"/>
      <c r="P34" s="43"/>
      <c r="Q34" s="43"/>
      <c r="R34" s="43"/>
      <c r="S34" s="4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3" customFormat="1" ht="16.5" customHeight="1" x14ac:dyDescent="0.3">
      <c r="A35" s="20"/>
      <c r="B35" s="17"/>
      <c r="C35" s="17"/>
      <c r="D35" s="17"/>
      <c r="E35" s="17"/>
      <c r="F35" s="21"/>
      <c r="G35" s="21"/>
      <c r="H35" s="17"/>
      <c r="I35" s="17"/>
      <c r="J35" s="19"/>
      <c r="K35" s="40"/>
      <c r="L35" s="43"/>
      <c r="M35" s="43"/>
      <c r="N35" s="43"/>
      <c r="O35" s="43"/>
      <c r="P35" s="43"/>
      <c r="Q35" s="43"/>
      <c r="R35" s="43"/>
      <c r="S35" s="4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3" customFormat="1" ht="16.5" customHeight="1" x14ac:dyDescent="0.3">
      <c r="A36" s="20"/>
      <c r="B36" s="17"/>
      <c r="C36" s="17"/>
      <c r="D36" s="17"/>
      <c r="E36" s="17"/>
      <c r="F36" s="21"/>
      <c r="G36" s="21"/>
      <c r="H36" s="17"/>
      <c r="I36" s="17"/>
      <c r="J36" s="19"/>
      <c r="K36" s="40"/>
      <c r="L36" s="43"/>
      <c r="M36" s="43"/>
      <c r="N36" s="43"/>
      <c r="O36" s="43"/>
      <c r="P36" s="43"/>
      <c r="Q36" s="43"/>
      <c r="R36" s="43"/>
      <c r="S36" s="4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3" customFormat="1" ht="16.5" customHeight="1" x14ac:dyDescent="0.3">
      <c r="A37" s="22"/>
      <c r="B37" s="17"/>
      <c r="C37" s="17"/>
      <c r="D37" s="17"/>
      <c r="E37" s="17"/>
      <c r="F37" s="21"/>
      <c r="G37" s="21"/>
      <c r="H37" s="17"/>
      <c r="I37" s="17"/>
      <c r="J37" s="19"/>
      <c r="K37" s="40"/>
      <c r="L37" s="43"/>
      <c r="M37" s="43"/>
      <c r="N37" s="43"/>
      <c r="O37" s="43"/>
      <c r="P37" s="43"/>
      <c r="Q37" s="43"/>
      <c r="R37" s="43"/>
      <c r="S37" s="4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3" customFormat="1" ht="16.5" customHeight="1" x14ac:dyDescent="0.3">
      <c r="A38" s="16"/>
      <c r="B38" s="17"/>
      <c r="C38" s="17"/>
      <c r="D38" s="17"/>
      <c r="E38" s="17"/>
      <c r="F38" s="21"/>
      <c r="G38" s="27"/>
      <c r="H38" s="17"/>
      <c r="I38" s="17"/>
      <c r="J38" s="19"/>
      <c r="K38" s="40"/>
      <c r="L38" s="43"/>
      <c r="M38" s="43"/>
      <c r="N38" s="43"/>
      <c r="O38" s="43"/>
      <c r="P38" s="43"/>
      <c r="Q38" s="43"/>
      <c r="R38" s="43"/>
      <c r="S38" s="4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ht="6" customHeight="1" x14ac:dyDescent="0.3">
      <c r="A39" s="16"/>
      <c r="B39" s="17"/>
      <c r="C39" s="17"/>
      <c r="D39" s="17"/>
      <c r="E39" s="17"/>
      <c r="F39" s="27"/>
      <c r="G39" s="21"/>
      <c r="H39" s="17"/>
      <c r="I39" s="17"/>
      <c r="J39" s="19"/>
      <c r="K39" s="40"/>
      <c r="L39" s="43"/>
      <c r="M39" s="43"/>
      <c r="N39" s="43"/>
      <c r="O39" s="43"/>
      <c r="P39" s="43"/>
      <c r="Q39" s="43"/>
      <c r="R39" s="43"/>
      <c r="S39" s="41"/>
    </row>
    <row r="40" spans="1:43" x14ac:dyDescent="0.3">
      <c r="A40" s="16"/>
      <c r="B40" s="17"/>
      <c r="C40" s="17"/>
      <c r="D40" s="17"/>
      <c r="E40" s="17"/>
      <c r="F40" s="17"/>
      <c r="G40" s="21"/>
      <c r="H40" s="17"/>
      <c r="I40" s="17"/>
      <c r="J40" s="19"/>
      <c r="K40" s="40"/>
      <c r="L40" s="43"/>
      <c r="M40" s="43"/>
      <c r="N40" s="43"/>
      <c r="O40" s="43"/>
      <c r="P40" s="43"/>
      <c r="Q40" s="43"/>
      <c r="R40" s="43"/>
      <c r="S40" s="41"/>
    </row>
    <row r="41" spans="1:43" x14ac:dyDescent="0.3">
      <c r="A41" s="24"/>
      <c r="B41" s="38"/>
      <c r="C41" s="38"/>
      <c r="D41" s="25"/>
      <c r="E41" s="25"/>
      <c r="F41" s="25"/>
      <c r="G41" s="39"/>
      <c r="H41" s="25"/>
      <c r="I41" s="25"/>
      <c r="J41" s="26"/>
      <c r="K41" s="40"/>
      <c r="L41" s="43"/>
      <c r="M41" s="43"/>
      <c r="N41" s="43"/>
      <c r="O41" s="43"/>
      <c r="P41" s="43"/>
      <c r="Q41" s="43"/>
      <c r="R41" s="43"/>
      <c r="S41" s="41"/>
    </row>
    <row r="42" spans="1:43" ht="4.5" customHeight="1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0"/>
      <c r="L42" s="3"/>
      <c r="M42" s="3"/>
      <c r="N42" s="3"/>
      <c r="O42" s="3"/>
      <c r="P42" s="3"/>
      <c r="Q42" s="3"/>
      <c r="R42" s="3"/>
      <c r="S42" s="41"/>
    </row>
    <row r="43" spans="1:43" ht="26.25" customHeight="1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0"/>
      <c r="L43" s="3"/>
      <c r="M43" s="3"/>
      <c r="N43" s="3"/>
      <c r="O43" s="3"/>
      <c r="P43" s="3"/>
      <c r="Q43" s="3"/>
      <c r="R43" s="3"/>
      <c r="S43" s="41"/>
    </row>
    <row r="44" spans="1:43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0"/>
      <c r="L44" s="3"/>
      <c r="M44" s="3"/>
      <c r="N44" s="3"/>
      <c r="O44" s="3"/>
      <c r="P44" s="3"/>
      <c r="Q44" s="3"/>
      <c r="R44" s="3"/>
      <c r="S44" s="41"/>
    </row>
    <row r="45" spans="1:43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0"/>
      <c r="L45" s="3"/>
      <c r="M45" s="3"/>
      <c r="N45" s="3"/>
      <c r="O45" s="3"/>
      <c r="P45" s="3"/>
      <c r="Q45" s="3"/>
      <c r="R45" s="3"/>
      <c r="S45" s="41"/>
    </row>
    <row r="46" spans="1:43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0"/>
      <c r="L46" s="3"/>
      <c r="M46" s="3"/>
      <c r="N46" s="3"/>
      <c r="O46" s="3"/>
      <c r="P46" s="3"/>
      <c r="Q46" s="3"/>
      <c r="R46" s="3"/>
      <c r="S46" s="41"/>
    </row>
    <row r="47" spans="1:43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0"/>
      <c r="L47" s="43"/>
      <c r="M47" s="43"/>
      <c r="N47" s="43"/>
      <c r="O47" s="43"/>
      <c r="P47" s="43"/>
      <c r="Q47" s="43"/>
      <c r="R47" s="43"/>
      <c r="S47" s="41"/>
    </row>
    <row r="48" spans="1:43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0"/>
      <c r="L48" s="44"/>
      <c r="M48" s="44"/>
      <c r="N48" s="44"/>
      <c r="O48" s="44"/>
      <c r="P48" s="44"/>
      <c r="Q48" s="44"/>
      <c r="R48" s="44"/>
      <c r="S48" s="41"/>
    </row>
    <row r="49" spans="1:19" x14ac:dyDescent="0.3">
      <c r="A49" s="174"/>
      <c r="B49" s="44"/>
      <c r="C49" s="44"/>
      <c r="D49" s="44"/>
      <c r="E49" s="44"/>
      <c r="F49" s="44"/>
      <c r="G49" s="44"/>
      <c r="H49" s="44"/>
      <c r="I49" s="44"/>
      <c r="J49" s="44"/>
      <c r="K49" s="294"/>
      <c r="S49" s="45"/>
    </row>
    <row r="51" spans="1:19" x14ac:dyDescent="0.3">
      <c r="L51" s="43"/>
      <c r="M51" s="43"/>
      <c r="N51" s="43"/>
      <c r="O51" s="43"/>
      <c r="P51" s="43"/>
      <c r="Q51" s="43"/>
      <c r="R51" s="43"/>
    </row>
    <row r="52" spans="1:19" x14ac:dyDescent="0.3">
      <c r="K52" s="40"/>
      <c r="S52" s="4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2705" r:id="rId4">
          <objectPr defaultSize="0" autoPict="0" r:id="rId5">
            <anchor moveWithCells="1" sizeWithCells="1">
              <from>
                <xdr:col>0</xdr:col>
                <xdr:colOff>57150</xdr:colOff>
                <xdr:row>4</xdr:row>
                <xdr:rowOff>31750</xdr:rowOff>
              </from>
              <to>
                <xdr:col>4</xdr:col>
                <xdr:colOff>654050</xdr:colOff>
                <xdr:row>10</xdr:row>
                <xdr:rowOff>165100</xdr:rowOff>
              </to>
            </anchor>
          </objectPr>
        </oleObject>
      </mc:Choice>
      <mc:Fallback>
        <oleObject progId="Equation.3" shapeId="712705" r:id="rId4"/>
      </mc:Fallback>
    </mc:AlternateContent>
    <mc:AlternateContent xmlns:mc="http://schemas.openxmlformats.org/markup-compatibility/2006">
      <mc:Choice Requires="x14">
        <oleObject progId="Equation.3" shapeId="712706" r:id="rId6">
          <objectPr defaultSize="0" autoPict="0" r:id="rId7">
            <anchor moveWithCells="1" sizeWithCells="1">
              <from>
                <xdr:col>0</xdr:col>
                <xdr:colOff>63500</xdr:colOff>
                <xdr:row>23</xdr:row>
                <xdr:rowOff>95250</xdr:rowOff>
              </from>
              <to>
                <xdr:col>5</xdr:col>
                <xdr:colOff>838200</xdr:colOff>
                <xdr:row>30</xdr:row>
                <xdr:rowOff>82550</xdr:rowOff>
              </to>
            </anchor>
          </objectPr>
        </oleObject>
      </mc:Choice>
      <mc:Fallback>
        <oleObject progId="Equation.3" shapeId="712706" r:id="rId6"/>
      </mc:Fallback>
    </mc:AlternateContent>
    <mc:AlternateContent xmlns:mc="http://schemas.openxmlformats.org/markup-compatibility/2006">
      <mc:Choice Requires="x14">
        <oleObject progId="Equation.3" shapeId="712707" r:id="rId8">
          <objectPr defaultSize="0" autoPict="0" r:id="rId9">
            <anchor moveWithCells="1" sizeWithCells="1">
              <from>
                <xdr:col>0</xdr:col>
                <xdr:colOff>63500</xdr:colOff>
                <xdr:row>33</xdr:row>
                <xdr:rowOff>44450</xdr:rowOff>
              </from>
              <to>
                <xdr:col>5</xdr:col>
                <xdr:colOff>749300</xdr:colOff>
                <xdr:row>40</xdr:row>
                <xdr:rowOff>76200</xdr:rowOff>
              </to>
            </anchor>
          </objectPr>
        </oleObject>
      </mc:Choice>
      <mc:Fallback>
        <oleObject progId="Equation.3" shapeId="712707" r:id="rId8"/>
      </mc:Fallback>
    </mc:AlternateContent>
    <mc:AlternateContent xmlns:mc="http://schemas.openxmlformats.org/markup-compatibility/2006">
      <mc:Choice Requires="x14">
        <oleObject progId="Equation.3" shapeId="712708" r:id="rId10">
          <objectPr defaultSize="0" autoPict="0" r:id="rId11">
            <anchor moveWithCells="1" sizeWithCells="1">
              <from>
                <xdr:col>0</xdr:col>
                <xdr:colOff>57150</xdr:colOff>
                <xdr:row>1</xdr:row>
                <xdr:rowOff>38100</xdr:rowOff>
              </from>
              <to>
                <xdr:col>2</xdr:col>
                <xdr:colOff>495300</xdr:colOff>
                <xdr:row>3</xdr:row>
                <xdr:rowOff>203200</xdr:rowOff>
              </to>
            </anchor>
          </objectPr>
        </oleObject>
      </mc:Choice>
      <mc:Fallback>
        <oleObject progId="Equation.3" shapeId="712708" r:id="rId10"/>
      </mc:Fallback>
    </mc:AlternateContent>
    <mc:AlternateContent xmlns:mc="http://schemas.openxmlformats.org/markup-compatibility/2006">
      <mc:Choice Requires="x14">
        <oleObject progId="Equation.3" shapeId="2351642" r:id="rId12">
          <objectPr defaultSize="0" autoPict="0" r:id="rId13">
            <anchor moveWithCells="1" sizeWithCells="1">
              <from>
                <xdr:col>0</xdr:col>
                <xdr:colOff>57150</xdr:colOff>
                <xdr:row>13</xdr:row>
                <xdr:rowOff>38100</xdr:rowOff>
              </from>
              <to>
                <xdr:col>5</xdr:col>
                <xdr:colOff>127000</xdr:colOff>
                <xdr:row>19</xdr:row>
                <xdr:rowOff>133350</xdr:rowOff>
              </to>
            </anchor>
          </objectPr>
        </oleObject>
      </mc:Choice>
      <mc:Fallback>
        <oleObject progId="Equation.3" shapeId="2351642" r:id="rId12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AF827"/>
  <sheetViews>
    <sheetView topLeftCell="H1" zoomScale="96" workbookViewId="0">
      <selection activeCell="AC10" sqref="AC10"/>
    </sheetView>
  </sheetViews>
  <sheetFormatPr defaultColWidth="9" defaultRowHeight="12.5" x14ac:dyDescent="0.25"/>
  <cols>
    <col min="1" max="1" width="1.75" style="33" customWidth="1"/>
    <col min="2" max="2" width="3.83203125" style="33" customWidth="1"/>
    <col min="3" max="3" width="5" style="33" customWidth="1"/>
    <col min="4" max="4" width="5.5" style="33" customWidth="1"/>
    <col min="5" max="5" width="4.75" style="33" customWidth="1"/>
    <col min="6" max="6" width="5.08203125" style="33" customWidth="1"/>
    <col min="7" max="8" width="6.25" style="33" customWidth="1"/>
    <col min="9" max="9" width="7" style="33" customWidth="1"/>
    <col min="10" max="10" width="6.83203125" style="33" customWidth="1"/>
    <col min="11" max="11" width="6.08203125" style="33" customWidth="1"/>
    <col min="12" max="12" width="4.75" style="33" customWidth="1"/>
    <col min="13" max="13" width="6.5" style="33" customWidth="1"/>
    <col min="14" max="14" width="7" style="33" customWidth="1"/>
    <col min="15" max="15" width="5" style="33" customWidth="1"/>
    <col min="16" max="16" width="2.08203125" style="33" customWidth="1"/>
    <col min="17" max="17" width="1.5" style="33" customWidth="1"/>
    <col min="18" max="18" width="1.25" style="33" customWidth="1"/>
    <col min="19" max="22" width="9" style="33"/>
    <col min="23" max="23" width="2" style="33" customWidth="1"/>
    <col min="24" max="24" width="7.08203125" style="33" customWidth="1"/>
    <col min="25" max="25" width="6" style="33" customWidth="1"/>
    <col min="26" max="27" width="9" style="33"/>
    <col min="28" max="28" width="5" style="33" customWidth="1"/>
    <col min="29" max="30" width="9" style="33"/>
    <col min="31" max="31" width="6.33203125" style="33" customWidth="1"/>
    <col min="32" max="32" width="1.25" style="33" customWidth="1"/>
    <col min="33" max="16384" width="9" style="33"/>
  </cols>
  <sheetData>
    <row r="1" spans="1:32" ht="16.5" customHeight="1" x14ac:dyDescent="0.4">
      <c r="A1" s="109"/>
      <c r="B1" s="143"/>
      <c r="C1" s="144" t="s">
        <v>334</v>
      </c>
      <c r="D1" s="137"/>
      <c r="E1" s="137"/>
      <c r="F1" s="137"/>
      <c r="G1" s="137"/>
      <c r="H1" s="138"/>
      <c r="I1" s="138"/>
      <c r="J1" s="138"/>
      <c r="K1" s="138"/>
      <c r="L1" s="138"/>
      <c r="M1" s="137"/>
      <c r="N1" s="137"/>
      <c r="O1" s="139"/>
      <c r="P1" s="110"/>
      <c r="Q1" s="109"/>
      <c r="R1" s="14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2" ht="39.75" customHeight="1" x14ac:dyDescent="0.3">
      <c r="A2" s="111"/>
      <c r="B2" s="145"/>
      <c r="C2" s="553" t="s">
        <v>330</v>
      </c>
      <c r="D2" s="566" t="s">
        <v>219</v>
      </c>
      <c r="E2" s="567"/>
      <c r="F2" s="570" t="s">
        <v>98</v>
      </c>
      <c r="G2" s="571"/>
      <c r="H2" s="571"/>
      <c r="I2" s="572"/>
      <c r="J2" s="553" t="s">
        <v>99</v>
      </c>
      <c r="K2" s="556" t="s">
        <v>95</v>
      </c>
      <c r="L2" s="558"/>
      <c r="M2" s="559" t="s">
        <v>335</v>
      </c>
      <c r="N2" s="573"/>
      <c r="O2" s="141"/>
      <c r="P2" s="112"/>
      <c r="Q2" s="111"/>
      <c r="R2" s="186"/>
      <c r="S2" s="556" t="s">
        <v>237</v>
      </c>
      <c r="T2" s="557"/>
      <c r="U2" s="557"/>
      <c r="V2" s="558"/>
      <c r="W2" s="111"/>
      <c r="X2" s="559" t="s">
        <v>80</v>
      </c>
      <c r="Y2" s="560"/>
      <c r="Z2" s="563" t="s">
        <v>331</v>
      </c>
      <c r="AA2" s="564"/>
      <c r="AB2" s="564"/>
      <c r="AC2" s="564"/>
      <c r="AD2" s="564"/>
      <c r="AE2" s="565"/>
      <c r="AF2" s="112"/>
    </row>
    <row r="3" spans="1:32" ht="24.75" customHeight="1" x14ac:dyDescent="0.3">
      <c r="A3" s="111"/>
      <c r="B3" s="145"/>
      <c r="C3" s="554"/>
      <c r="D3" s="568"/>
      <c r="E3" s="569"/>
      <c r="F3" s="551" t="s">
        <v>77</v>
      </c>
      <c r="G3" s="552"/>
      <c r="H3" s="551" t="s">
        <v>60</v>
      </c>
      <c r="I3" s="552"/>
      <c r="J3" s="554"/>
      <c r="K3" s="545" t="s">
        <v>96</v>
      </c>
      <c r="L3" s="546"/>
      <c r="M3" s="561"/>
      <c r="N3" s="574"/>
      <c r="O3" s="141"/>
      <c r="P3" s="112"/>
      <c r="Q3" s="111"/>
      <c r="R3" s="186"/>
      <c r="S3" s="575" t="s">
        <v>40</v>
      </c>
      <c r="T3" s="575" t="s">
        <v>41</v>
      </c>
      <c r="U3" s="575" t="s">
        <v>42</v>
      </c>
      <c r="V3" s="575" t="s">
        <v>43</v>
      </c>
      <c r="W3" s="111"/>
      <c r="X3" s="561"/>
      <c r="Y3" s="562"/>
      <c r="Z3" s="545" t="s">
        <v>59</v>
      </c>
      <c r="AA3" s="577"/>
      <c r="AB3" s="546"/>
      <c r="AC3" s="578" t="s">
        <v>60</v>
      </c>
      <c r="AD3" s="579"/>
      <c r="AE3" s="580"/>
      <c r="AF3" s="112"/>
    </row>
    <row r="4" spans="1:32" ht="16.5" customHeight="1" x14ac:dyDescent="0.25">
      <c r="A4" s="111"/>
      <c r="B4" s="145"/>
      <c r="C4" s="555"/>
      <c r="D4" s="117" t="s">
        <v>76</v>
      </c>
      <c r="E4" s="118"/>
      <c r="F4" s="175" t="s">
        <v>78</v>
      </c>
      <c r="G4" s="176" t="s">
        <v>43</v>
      </c>
      <c r="H4" s="175" t="s">
        <v>78</v>
      </c>
      <c r="I4" s="176" t="s">
        <v>43</v>
      </c>
      <c r="J4" s="555"/>
      <c r="K4" s="119" t="s">
        <v>59</v>
      </c>
      <c r="L4" s="120" t="s">
        <v>60</v>
      </c>
      <c r="M4" s="119" t="s">
        <v>59</v>
      </c>
      <c r="N4" s="179" t="s">
        <v>60</v>
      </c>
      <c r="O4" s="141"/>
      <c r="P4" s="112"/>
      <c r="Q4" s="111"/>
      <c r="R4" s="186"/>
      <c r="S4" s="576"/>
      <c r="T4" s="576"/>
      <c r="U4" s="576"/>
      <c r="V4" s="576"/>
      <c r="W4" s="111"/>
      <c r="X4" s="170" t="s">
        <v>75</v>
      </c>
      <c r="Y4" s="121"/>
      <c r="Z4" s="156" t="s">
        <v>367</v>
      </c>
      <c r="AA4" s="322" t="s">
        <v>368</v>
      </c>
      <c r="AB4" s="123" t="s">
        <v>43</v>
      </c>
      <c r="AC4" s="122" t="s">
        <v>367</v>
      </c>
      <c r="AD4" s="172" t="s">
        <v>97</v>
      </c>
      <c r="AE4" s="123" t="s">
        <v>43</v>
      </c>
      <c r="AF4" s="112"/>
    </row>
    <row r="5" spans="1:32" ht="12.75" customHeight="1" x14ac:dyDescent="0.25">
      <c r="A5" s="111"/>
      <c r="B5" s="145"/>
      <c r="C5" s="151" t="s">
        <v>81</v>
      </c>
      <c r="D5" s="547"/>
      <c r="E5" s="548"/>
      <c r="F5" s="134">
        <v>52</v>
      </c>
      <c r="G5" s="107">
        <v>9</v>
      </c>
      <c r="H5" s="171">
        <v>0</v>
      </c>
      <c r="I5" s="107">
        <v>12</v>
      </c>
      <c r="J5" s="135">
        <v>0.16</v>
      </c>
      <c r="K5" s="135">
        <f t="shared" ref="K5:K10" si="0">D5*F5*J5</f>
        <v>0</v>
      </c>
      <c r="L5" s="178">
        <f t="shared" ref="L5:L10" si="1">D5*H5*J5</f>
        <v>0</v>
      </c>
      <c r="M5" s="135">
        <f t="shared" ref="M5:M10" si="2">(K5/SUM($K$5:$K$10))</f>
        <v>0</v>
      </c>
      <c r="N5" s="180">
        <f t="shared" ref="N5:N10" si="3">(L5/SUM($L$5:$L$10))</f>
        <v>0</v>
      </c>
      <c r="O5" s="141"/>
      <c r="P5" s="112"/>
      <c r="Q5" s="111"/>
      <c r="R5" s="186"/>
      <c r="S5" s="124" t="s">
        <v>6</v>
      </c>
      <c r="T5" s="124" t="s">
        <v>70</v>
      </c>
      <c r="U5" s="102">
        <f>21*70</f>
        <v>1470</v>
      </c>
      <c r="V5" s="102">
        <v>7</v>
      </c>
      <c r="W5" s="111"/>
      <c r="X5" s="107">
        <v>1</v>
      </c>
      <c r="Y5" s="101" t="s">
        <v>81</v>
      </c>
      <c r="Z5" s="127">
        <f>0.0183/60</f>
        <v>3.0499999999999999E-4</v>
      </c>
      <c r="AA5" s="325">
        <f>0.693/(Z5)</f>
        <v>2272.1311475409834</v>
      </c>
      <c r="AB5" s="101" t="s">
        <v>369</v>
      </c>
      <c r="AC5" s="129"/>
      <c r="AD5" s="101"/>
      <c r="AE5" s="128"/>
      <c r="AF5" s="112"/>
    </row>
    <row r="6" spans="1:32" ht="12.75" customHeight="1" x14ac:dyDescent="0.25">
      <c r="A6" s="111"/>
      <c r="B6" s="145"/>
      <c r="C6" s="152" t="s">
        <v>82</v>
      </c>
      <c r="D6" s="549"/>
      <c r="E6" s="550"/>
      <c r="F6" s="99">
        <v>24</v>
      </c>
      <c r="G6" s="106">
        <v>9</v>
      </c>
      <c r="H6" s="169">
        <v>0</v>
      </c>
      <c r="I6" s="106">
        <v>12</v>
      </c>
      <c r="J6" s="136">
        <v>0.16</v>
      </c>
      <c r="K6" s="136">
        <f t="shared" si="0"/>
        <v>0</v>
      </c>
      <c r="L6" s="113">
        <f t="shared" si="1"/>
        <v>0</v>
      </c>
      <c r="M6" s="136">
        <f t="shared" si="2"/>
        <v>0</v>
      </c>
      <c r="N6" s="182">
        <f t="shared" si="3"/>
        <v>0</v>
      </c>
      <c r="O6" s="141"/>
      <c r="P6" s="112"/>
      <c r="Q6" s="111"/>
      <c r="R6" s="186"/>
      <c r="S6" s="124" t="s">
        <v>52</v>
      </c>
      <c r="T6" s="124" t="s">
        <v>70</v>
      </c>
      <c r="U6" s="102">
        <f>3.5*70</f>
        <v>245</v>
      </c>
      <c r="V6" s="102">
        <v>2</v>
      </c>
      <c r="W6" s="111"/>
      <c r="X6" s="106">
        <v>2</v>
      </c>
      <c r="Y6" s="102" t="s">
        <v>82</v>
      </c>
      <c r="Z6" s="130">
        <f>0.0301/60</f>
        <v>5.0166666666666665E-4</v>
      </c>
      <c r="AA6" s="326">
        <f t="shared" ref="AA6:AA11" si="4">0.693/(Z6)</f>
        <v>1381.3953488372092</v>
      </c>
      <c r="AB6" s="102" t="s">
        <v>370</v>
      </c>
      <c r="AC6" s="132"/>
      <c r="AD6" s="102"/>
      <c r="AE6" s="131"/>
      <c r="AF6" s="112"/>
    </row>
    <row r="7" spans="1:32" ht="12.75" customHeight="1" x14ac:dyDescent="0.25">
      <c r="A7" s="111"/>
      <c r="B7" s="145"/>
      <c r="C7" s="152" t="s">
        <v>83</v>
      </c>
      <c r="D7" s="549">
        <v>0.10299999999999999</v>
      </c>
      <c r="E7" s="550"/>
      <c r="F7" s="99">
        <v>73</v>
      </c>
      <c r="G7" s="106">
        <v>9</v>
      </c>
      <c r="H7" s="169">
        <v>8.4</v>
      </c>
      <c r="I7" s="106">
        <v>12</v>
      </c>
      <c r="J7" s="136">
        <v>0.09</v>
      </c>
      <c r="K7" s="136">
        <f t="shared" si="0"/>
        <v>0.67670999999999992</v>
      </c>
      <c r="L7" s="113">
        <f t="shared" si="1"/>
        <v>7.7867999999999993E-2</v>
      </c>
      <c r="M7" s="136">
        <f>(K7/SUM($K$5:$K$10))</f>
        <v>0.67353763772630904</v>
      </c>
      <c r="N7" s="182">
        <f t="shared" si="3"/>
        <v>0.7760182573771961</v>
      </c>
      <c r="O7" s="141"/>
      <c r="P7" s="112"/>
      <c r="Q7" s="111"/>
      <c r="R7" s="186"/>
      <c r="S7" s="124" t="s">
        <v>45</v>
      </c>
      <c r="T7" s="124" t="s">
        <v>70</v>
      </c>
      <c r="U7" s="102">
        <f>16.4*70</f>
        <v>1148</v>
      </c>
      <c r="V7" s="102">
        <v>7</v>
      </c>
      <c r="W7" s="111"/>
      <c r="X7" s="106">
        <v>3</v>
      </c>
      <c r="Y7" s="102" t="s">
        <v>83</v>
      </c>
      <c r="Z7" s="130">
        <f>0.0067/60</f>
        <v>1.1166666666666667E-4</v>
      </c>
      <c r="AA7" s="326">
        <f t="shared" si="4"/>
        <v>6205.9701492537306</v>
      </c>
      <c r="AB7" s="102" t="s">
        <v>371</v>
      </c>
      <c r="AC7" s="132"/>
      <c r="AD7" s="102"/>
      <c r="AE7" s="131"/>
      <c r="AF7" s="112"/>
    </row>
    <row r="8" spans="1:32" ht="12.75" customHeight="1" x14ac:dyDescent="0.25">
      <c r="A8" s="111"/>
      <c r="B8" s="145"/>
      <c r="C8" s="152" t="s">
        <v>84</v>
      </c>
      <c r="D8" s="549">
        <v>7.9000000000000001E-2</v>
      </c>
      <c r="E8" s="550"/>
      <c r="F8" s="99">
        <v>14</v>
      </c>
      <c r="G8" s="106">
        <v>9</v>
      </c>
      <c r="H8" s="169">
        <v>1</v>
      </c>
      <c r="I8" s="106">
        <v>12</v>
      </c>
      <c r="J8" s="136">
        <v>0.2</v>
      </c>
      <c r="K8" s="136">
        <f t="shared" si="0"/>
        <v>0.22120000000000004</v>
      </c>
      <c r="L8" s="113">
        <f t="shared" si="1"/>
        <v>1.5800000000000002E-2</v>
      </c>
      <c r="M8" s="136">
        <f t="shared" si="2"/>
        <v>0.22016303211872087</v>
      </c>
      <c r="N8" s="182">
        <f t="shared" si="3"/>
        <v>0.15745991250012459</v>
      </c>
      <c r="O8" s="141"/>
      <c r="P8" s="112"/>
      <c r="Q8" s="111"/>
      <c r="R8" s="186"/>
      <c r="S8" s="124"/>
      <c r="T8" s="124"/>
      <c r="U8" s="102"/>
      <c r="V8" s="102"/>
      <c r="W8" s="111"/>
      <c r="X8" s="106">
        <v>4</v>
      </c>
      <c r="Y8" s="102" t="s">
        <v>84</v>
      </c>
      <c r="Z8" s="130">
        <f>0.0267/60</f>
        <v>4.4500000000000003E-4</v>
      </c>
      <c r="AA8" s="326">
        <f t="shared" si="4"/>
        <v>1557.3033707865166</v>
      </c>
      <c r="AB8" s="102" t="s">
        <v>372</v>
      </c>
      <c r="AC8" s="132"/>
      <c r="AD8" s="102"/>
      <c r="AE8" s="131"/>
      <c r="AF8" s="112"/>
    </row>
    <row r="9" spans="1:32" ht="12.75" customHeight="1" x14ac:dyDescent="0.25">
      <c r="A9" s="111"/>
      <c r="B9" s="145"/>
      <c r="C9" s="152" t="s">
        <v>85</v>
      </c>
      <c r="D9" s="549">
        <v>8.8999999999999996E-2</v>
      </c>
      <c r="E9" s="550"/>
      <c r="F9" s="99">
        <v>8</v>
      </c>
      <c r="G9" s="106">
        <v>9</v>
      </c>
      <c r="H9" s="169">
        <v>0.5</v>
      </c>
      <c r="I9" s="106">
        <v>12</v>
      </c>
      <c r="J9" s="136">
        <v>0.15</v>
      </c>
      <c r="K9" s="136">
        <f t="shared" si="0"/>
        <v>0.10679999999999999</v>
      </c>
      <c r="L9" s="113">
        <f t="shared" si="1"/>
        <v>6.6749999999999995E-3</v>
      </c>
      <c r="M9" s="136">
        <f t="shared" si="2"/>
        <v>0.10629933015497009</v>
      </c>
      <c r="N9" s="182">
        <f t="shared" si="3"/>
        <v>6.6521830122679204E-2</v>
      </c>
      <c r="O9" s="141"/>
      <c r="P9" s="112"/>
      <c r="Q9" s="111"/>
      <c r="R9" s="186"/>
      <c r="S9" s="124"/>
      <c r="T9" s="124"/>
      <c r="U9" s="102"/>
      <c r="V9" s="102"/>
      <c r="W9" s="111"/>
      <c r="X9" s="106">
        <v>5</v>
      </c>
      <c r="Y9" s="102" t="s">
        <v>85</v>
      </c>
      <c r="Z9" s="130">
        <f>0.0099/60</f>
        <v>1.6500000000000003E-4</v>
      </c>
      <c r="AA9" s="326">
        <f t="shared" si="4"/>
        <v>4199.9999999999991</v>
      </c>
      <c r="AB9" s="102" t="s">
        <v>373</v>
      </c>
      <c r="AC9" s="132"/>
      <c r="AD9" s="102"/>
      <c r="AE9" s="131"/>
      <c r="AF9" s="112"/>
    </row>
    <row r="10" spans="1:32" ht="12.75" customHeight="1" x14ac:dyDescent="0.25">
      <c r="A10" s="111"/>
      <c r="B10" s="145"/>
      <c r="C10" s="184" t="s">
        <v>86</v>
      </c>
      <c r="D10" s="543"/>
      <c r="E10" s="544"/>
      <c r="F10" s="105">
        <v>137</v>
      </c>
      <c r="G10" s="177">
        <v>9</v>
      </c>
      <c r="H10" s="104">
        <v>59</v>
      </c>
      <c r="I10" s="177">
        <v>12</v>
      </c>
      <c r="J10" s="181">
        <v>0.25</v>
      </c>
      <c r="K10" s="181">
        <f t="shared" si="0"/>
        <v>0</v>
      </c>
      <c r="L10" s="116">
        <f t="shared" si="1"/>
        <v>0</v>
      </c>
      <c r="M10" s="181">
        <f t="shared" si="2"/>
        <v>0</v>
      </c>
      <c r="N10" s="183">
        <f t="shared" si="3"/>
        <v>0</v>
      </c>
      <c r="O10" s="141"/>
      <c r="P10" s="112"/>
      <c r="Q10" s="111"/>
      <c r="R10" s="186"/>
      <c r="S10" s="124"/>
      <c r="T10" s="124"/>
      <c r="U10" s="102"/>
      <c r="V10" s="102"/>
      <c r="W10" s="111"/>
      <c r="X10" s="106">
        <v>6</v>
      </c>
      <c r="Y10" s="102" t="s">
        <v>86</v>
      </c>
      <c r="Z10" s="130">
        <f>0.0193/60</f>
        <v>3.2166666666666666E-4</v>
      </c>
      <c r="AA10" s="326">
        <f t="shared" si="4"/>
        <v>2154.4041450777199</v>
      </c>
      <c r="AB10" s="102" t="s">
        <v>374</v>
      </c>
      <c r="AC10" s="323">
        <f>0.03/60</f>
        <v>5.0000000000000001E-4</v>
      </c>
      <c r="AD10" s="102">
        <f>0.693/AC10</f>
        <v>1385.9999999999998</v>
      </c>
      <c r="AE10" s="131">
        <v>6</v>
      </c>
      <c r="AF10" s="112"/>
    </row>
    <row r="11" spans="1:32" ht="12.75" customHeight="1" x14ac:dyDescent="0.25">
      <c r="A11" s="111"/>
      <c r="B11" s="14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85"/>
      <c r="P11" s="112"/>
      <c r="Q11" s="111"/>
      <c r="R11" s="100"/>
      <c r="S11" s="125"/>
      <c r="T11" s="125"/>
      <c r="U11" s="103"/>
      <c r="V11" s="103"/>
      <c r="W11" s="111"/>
      <c r="X11" s="104">
        <v>7</v>
      </c>
      <c r="Y11" s="103" t="s">
        <v>261</v>
      </c>
      <c r="Z11" s="338">
        <f>0.0193/60</f>
        <v>3.2166666666666666E-4</v>
      </c>
      <c r="AA11" s="327">
        <f>0.693/(Z11)</f>
        <v>2154.4041450777199</v>
      </c>
      <c r="AB11" s="103" t="s">
        <v>375</v>
      </c>
      <c r="AC11" s="324">
        <f>0.03/60</f>
        <v>5.0000000000000001E-4</v>
      </c>
      <c r="AD11" s="103">
        <f>0.693/AC11</f>
        <v>1385.9999999999998</v>
      </c>
      <c r="AE11" s="125"/>
      <c r="AF11" s="112"/>
    </row>
    <row r="12" spans="1:32" ht="12.75" customHeight="1" x14ac:dyDescent="0.25">
      <c r="A12" s="111"/>
      <c r="B12" s="153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54"/>
      <c r="P12" s="112"/>
      <c r="Q12" s="111"/>
      <c r="R12" s="100"/>
      <c r="S12" s="73"/>
      <c r="T12" s="73"/>
      <c r="U12" s="132"/>
      <c r="V12" s="132"/>
      <c r="W12" s="111"/>
      <c r="X12" s="99"/>
      <c r="Y12" s="132"/>
      <c r="Z12" s="155"/>
      <c r="AA12" s="132"/>
      <c r="AB12" s="132"/>
      <c r="AC12" s="155"/>
      <c r="AD12" s="132"/>
      <c r="AE12" s="132"/>
      <c r="AF12" s="112"/>
    </row>
    <row r="13" spans="1:32" ht="12.75" customHeight="1" x14ac:dyDescent="0.25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1"/>
      <c r="R13" s="150"/>
      <c r="S13" s="78"/>
      <c r="T13" s="78"/>
      <c r="U13" s="142"/>
      <c r="V13" s="142"/>
      <c r="W13" s="114"/>
      <c r="X13" s="105"/>
      <c r="Y13" s="142"/>
      <c r="Z13" s="133"/>
      <c r="AA13" s="142"/>
      <c r="AB13" s="142"/>
      <c r="AC13" s="133"/>
      <c r="AD13" s="142"/>
      <c r="AE13" s="142"/>
      <c r="AF13" s="115"/>
    </row>
    <row r="14" spans="1:32" x14ac:dyDescent="0.25">
      <c r="A14" s="111"/>
      <c r="B14" s="46"/>
      <c r="C14" s="46"/>
      <c r="D14" s="46"/>
      <c r="E14" s="46"/>
      <c r="F14" s="46"/>
      <c r="G14" s="46"/>
      <c r="H14" s="46"/>
      <c r="I14" s="113"/>
      <c r="J14" s="146"/>
      <c r="K14" s="146"/>
      <c r="L14" s="146"/>
      <c r="M14" s="146"/>
      <c r="N14" s="60"/>
      <c r="O14" s="111"/>
      <c r="P14" s="112"/>
    </row>
    <row r="15" spans="1:32" x14ac:dyDescent="0.25">
      <c r="A15" s="111"/>
      <c r="B15" s="46"/>
      <c r="C15" s="46"/>
      <c r="D15" s="46"/>
      <c r="E15" s="46"/>
      <c r="F15" s="46"/>
      <c r="G15" s="46"/>
      <c r="H15" s="46"/>
      <c r="I15" s="113"/>
      <c r="J15" s="146"/>
      <c r="K15" s="146"/>
      <c r="L15" s="146"/>
      <c r="M15" s="146"/>
      <c r="N15" s="60"/>
      <c r="O15" s="111"/>
      <c r="P15" s="147"/>
    </row>
    <row r="16" spans="1:32" x14ac:dyDescent="0.25">
      <c r="A16" s="111"/>
      <c r="B16" s="46"/>
      <c r="C16" s="46"/>
      <c r="D16" s="46"/>
      <c r="E16" s="46"/>
      <c r="F16" s="46"/>
      <c r="G16" s="46"/>
      <c r="H16" s="46"/>
      <c r="I16" s="113"/>
      <c r="J16" s="146"/>
      <c r="K16" s="146"/>
      <c r="L16" s="146"/>
      <c r="M16" s="146"/>
      <c r="N16" s="60"/>
      <c r="O16" s="111"/>
      <c r="P16" s="147"/>
    </row>
    <row r="17" spans="1:16" x14ac:dyDescent="0.25">
      <c r="A17" s="111"/>
      <c r="B17" s="46"/>
      <c r="C17" s="46"/>
      <c r="D17" s="46"/>
      <c r="E17" s="46"/>
      <c r="F17" s="46"/>
      <c r="G17" s="46"/>
      <c r="H17" s="46"/>
      <c r="I17" s="113"/>
      <c r="J17" s="146"/>
      <c r="K17" s="146"/>
      <c r="L17" s="146"/>
      <c r="M17" s="146"/>
      <c r="N17" s="60"/>
      <c r="O17" s="111"/>
      <c r="P17" s="147"/>
    </row>
    <row r="18" spans="1:16" x14ac:dyDescent="0.25">
      <c r="A18" s="111"/>
      <c r="B18" s="46"/>
      <c r="C18" s="46"/>
      <c r="D18" s="46"/>
      <c r="E18" s="46"/>
      <c r="F18" s="46"/>
      <c r="G18" s="46"/>
      <c r="H18" s="46"/>
      <c r="I18" s="113"/>
      <c r="J18" s="146"/>
      <c r="K18" s="146"/>
      <c r="L18" s="146"/>
      <c r="M18" s="146"/>
      <c r="N18" s="60"/>
      <c r="O18" s="111"/>
      <c r="P18" s="147"/>
    </row>
    <row r="19" spans="1:16" x14ac:dyDescent="0.25">
      <c r="A19" s="111"/>
      <c r="B19" s="46"/>
      <c r="C19" s="46"/>
      <c r="D19" s="46"/>
      <c r="E19" s="46"/>
      <c r="F19" s="46"/>
      <c r="G19" s="46"/>
      <c r="H19" s="46"/>
      <c r="I19" s="113"/>
      <c r="J19" s="146"/>
      <c r="K19" s="146"/>
      <c r="L19" s="146"/>
      <c r="M19" s="146"/>
      <c r="N19" s="60"/>
      <c r="O19" s="111"/>
      <c r="P19" s="147"/>
    </row>
    <row r="20" spans="1:16" x14ac:dyDescent="0.25">
      <c r="A20" s="111"/>
      <c r="B20" s="46"/>
      <c r="C20" s="46"/>
      <c r="D20" s="46"/>
      <c r="E20" s="46"/>
      <c r="F20" s="46"/>
      <c r="G20" s="46"/>
      <c r="H20" s="46"/>
      <c r="I20" s="113"/>
      <c r="J20" s="146"/>
      <c r="K20" s="146"/>
      <c r="L20" s="146"/>
      <c r="M20" s="146"/>
      <c r="N20" s="60"/>
      <c r="O20" s="111"/>
      <c r="P20" s="147"/>
    </row>
    <row r="21" spans="1:16" x14ac:dyDescent="0.25">
      <c r="A21" s="111"/>
      <c r="B21" s="46"/>
      <c r="C21" s="46"/>
      <c r="D21" s="46"/>
      <c r="E21" s="46"/>
      <c r="F21" s="46"/>
      <c r="G21" s="46"/>
      <c r="H21" s="46"/>
      <c r="I21" s="113"/>
      <c r="J21" s="146"/>
      <c r="K21" s="146"/>
      <c r="L21" s="146"/>
      <c r="M21" s="146"/>
      <c r="N21" s="60"/>
      <c r="O21" s="111"/>
      <c r="P21" s="147"/>
    </row>
    <row r="22" spans="1:16" x14ac:dyDescent="0.25">
      <c r="A22" s="111"/>
      <c r="B22" s="46"/>
      <c r="C22" s="46"/>
      <c r="D22" s="46"/>
      <c r="E22" s="46"/>
      <c r="F22" s="46"/>
      <c r="G22" s="46"/>
      <c r="H22" s="46"/>
      <c r="I22" s="113"/>
      <c r="J22" s="146"/>
      <c r="K22" s="146"/>
      <c r="L22" s="146"/>
      <c r="M22" s="146"/>
      <c r="N22" s="60"/>
      <c r="O22" s="111"/>
      <c r="P22" s="147"/>
    </row>
    <row r="23" spans="1:16" x14ac:dyDescent="0.25">
      <c r="A23" s="111"/>
      <c r="B23" s="46"/>
      <c r="C23" s="46"/>
      <c r="D23" s="46"/>
      <c r="E23" s="46"/>
      <c r="F23" s="46"/>
      <c r="G23" s="46"/>
      <c r="H23" s="46"/>
      <c r="I23" s="113"/>
      <c r="J23" s="146"/>
      <c r="K23" s="146"/>
      <c r="L23" s="146"/>
      <c r="M23" s="146"/>
      <c r="N23" s="60"/>
      <c r="O23" s="111"/>
      <c r="P23" s="147"/>
    </row>
    <row r="24" spans="1:16" x14ac:dyDescent="0.25">
      <c r="A24" s="111"/>
      <c r="B24" s="46"/>
      <c r="C24" s="46"/>
      <c r="D24" s="46"/>
      <c r="E24" s="46"/>
      <c r="F24" s="46"/>
      <c r="G24" s="46"/>
      <c r="H24" s="46"/>
      <c r="I24" s="113"/>
      <c r="J24" s="146"/>
      <c r="K24" s="146"/>
      <c r="L24" s="146"/>
      <c r="M24" s="146"/>
      <c r="N24" s="60"/>
      <c r="O24" s="111"/>
      <c r="P24" s="147"/>
    </row>
    <row r="25" spans="1:16" x14ac:dyDescent="0.25">
      <c r="A25" s="111"/>
      <c r="B25" s="46"/>
      <c r="C25" s="46"/>
      <c r="D25" s="46"/>
      <c r="E25" s="46"/>
      <c r="F25" s="46"/>
      <c r="G25" s="46"/>
      <c r="H25" s="46"/>
      <c r="I25" s="113"/>
      <c r="J25" s="146"/>
      <c r="K25" s="146"/>
      <c r="L25" s="146"/>
      <c r="M25" s="146"/>
      <c r="N25" s="60"/>
      <c r="O25" s="111"/>
      <c r="P25" s="147"/>
    </row>
    <row r="26" spans="1:16" x14ac:dyDescent="0.25">
      <c r="A26" s="111"/>
      <c r="B26" s="46"/>
      <c r="C26" s="46"/>
      <c r="D26" s="46"/>
      <c r="E26" s="46"/>
      <c r="F26" s="46"/>
      <c r="G26" s="46"/>
      <c r="H26" s="46"/>
      <c r="I26" s="113"/>
      <c r="J26" s="146"/>
      <c r="K26" s="146"/>
      <c r="L26" s="146"/>
      <c r="M26" s="146"/>
      <c r="N26" s="60"/>
      <c r="O26" s="60"/>
      <c r="P26" s="147"/>
    </row>
    <row r="27" spans="1:16" x14ac:dyDescent="0.25">
      <c r="A27" s="111"/>
      <c r="B27" s="99"/>
      <c r="C27" s="99"/>
      <c r="D27" s="99"/>
      <c r="E27" s="99"/>
      <c r="F27" s="99"/>
      <c r="G27" s="99"/>
      <c r="H27" s="99"/>
      <c r="I27" s="113"/>
      <c r="J27" s="113"/>
      <c r="K27" s="113"/>
      <c r="L27" s="113"/>
      <c r="M27" s="113"/>
      <c r="N27" s="111"/>
      <c r="O27" s="111"/>
      <c r="P27" s="147"/>
    </row>
    <row r="28" spans="1:16" x14ac:dyDescent="0.25">
      <c r="A28" s="104"/>
      <c r="B28" s="105"/>
      <c r="C28" s="105"/>
      <c r="D28" s="105"/>
      <c r="E28" s="105"/>
      <c r="F28" s="105"/>
      <c r="G28" s="105"/>
      <c r="H28" s="105"/>
      <c r="I28" s="116"/>
      <c r="J28" s="116"/>
      <c r="K28" s="116"/>
      <c r="L28" s="116"/>
      <c r="M28" s="116"/>
      <c r="N28" s="114"/>
      <c r="O28" s="114"/>
      <c r="P28" s="148"/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6"/>
      <c r="J29" s="36"/>
      <c r="K29" s="36"/>
      <c r="L29" s="36"/>
      <c r="M29" s="36"/>
    </row>
    <row r="30" spans="1:16" x14ac:dyDescent="0.25">
      <c r="A30" s="34"/>
      <c r="B30" s="34"/>
      <c r="C30" s="34"/>
      <c r="D30" s="34"/>
      <c r="E30" s="34"/>
      <c r="F30" s="34"/>
      <c r="G30" s="34"/>
      <c r="H30" s="34"/>
      <c r="I30" s="36"/>
      <c r="J30" s="36"/>
      <c r="K30" s="36"/>
      <c r="L30" s="36"/>
      <c r="M30" s="36"/>
    </row>
    <row r="31" spans="1:16" x14ac:dyDescent="0.25">
      <c r="A31" s="34"/>
      <c r="B31" s="34"/>
      <c r="C31" s="34"/>
      <c r="D31" s="34"/>
      <c r="E31" s="34"/>
      <c r="F31" s="34"/>
      <c r="G31" s="34"/>
      <c r="H31" s="34"/>
      <c r="I31" s="36"/>
      <c r="J31" s="36"/>
      <c r="K31" s="36"/>
      <c r="L31" s="36"/>
      <c r="M31" s="36"/>
    </row>
    <row r="32" spans="1:16" x14ac:dyDescent="0.25">
      <c r="A32" s="34"/>
      <c r="B32" s="34"/>
      <c r="C32" s="34"/>
      <c r="D32" s="34"/>
      <c r="E32" s="34"/>
      <c r="F32" s="34"/>
      <c r="G32" s="34"/>
      <c r="H32" s="34"/>
      <c r="I32" s="36"/>
      <c r="J32" s="36"/>
      <c r="K32" s="36"/>
      <c r="L32" s="36"/>
      <c r="M32" s="36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6"/>
      <c r="J33" s="36"/>
      <c r="K33" s="36"/>
      <c r="L33" s="36"/>
      <c r="M33" s="36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6"/>
      <c r="J34" s="36"/>
      <c r="K34" s="36"/>
      <c r="L34" s="36"/>
      <c r="M34" s="36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6"/>
      <c r="J35" s="36"/>
      <c r="K35" s="36"/>
      <c r="L35" s="36"/>
      <c r="M35" s="36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6"/>
      <c r="J36" s="36"/>
      <c r="K36" s="36"/>
      <c r="L36" s="36"/>
      <c r="M36" s="36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6"/>
      <c r="J37" s="36"/>
      <c r="K37" s="36"/>
      <c r="L37" s="36"/>
      <c r="M37" s="36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6"/>
      <c r="J38" s="36"/>
      <c r="K38" s="36"/>
      <c r="L38" s="36"/>
      <c r="M38" s="36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6"/>
      <c r="J39" s="36"/>
      <c r="K39" s="36"/>
      <c r="L39" s="36"/>
      <c r="M39" s="36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6"/>
      <c r="J40" s="36"/>
      <c r="K40" s="36"/>
      <c r="L40" s="36"/>
      <c r="M40" s="36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6"/>
      <c r="J41" s="36"/>
      <c r="K41" s="36"/>
      <c r="L41" s="36"/>
      <c r="M41" s="36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6"/>
      <c r="J42" s="36"/>
      <c r="K42" s="36"/>
      <c r="L42" s="36"/>
      <c r="M42" s="36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6"/>
      <c r="J43" s="36"/>
      <c r="K43" s="36"/>
      <c r="L43" s="36"/>
      <c r="M43" s="36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6"/>
      <c r="J44" s="36"/>
      <c r="K44" s="36"/>
      <c r="L44" s="36"/>
      <c r="M44" s="36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6"/>
      <c r="J45" s="36"/>
      <c r="K45" s="36"/>
      <c r="L45" s="36"/>
      <c r="M45" s="36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6"/>
      <c r="J46" s="36"/>
      <c r="K46" s="36"/>
      <c r="L46" s="36"/>
      <c r="M46" s="36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6"/>
      <c r="J47" s="36"/>
      <c r="K47" s="36"/>
      <c r="L47" s="36"/>
      <c r="M47" s="36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6"/>
      <c r="J48" s="36"/>
      <c r="K48" s="36"/>
      <c r="L48" s="36"/>
      <c r="M48" s="36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6"/>
      <c r="J49" s="36"/>
      <c r="K49" s="36"/>
      <c r="L49" s="36"/>
      <c r="M49" s="36"/>
    </row>
    <row r="50" spans="1:13" x14ac:dyDescent="0.25">
      <c r="A50" s="34"/>
      <c r="B50" s="34"/>
      <c r="C50" s="34"/>
      <c r="D50" s="34"/>
      <c r="E50" s="34"/>
      <c r="F50" s="34"/>
      <c r="G50" s="34"/>
      <c r="H50" s="34"/>
      <c r="I50" s="36"/>
      <c r="J50" s="36"/>
      <c r="K50" s="36"/>
      <c r="L50" s="36"/>
      <c r="M50" s="36"/>
    </row>
    <row r="51" spans="1:13" x14ac:dyDescent="0.25">
      <c r="A51" s="34"/>
      <c r="B51" s="34"/>
      <c r="C51" s="34"/>
      <c r="D51" s="34"/>
      <c r="E51" s="34"/>
      <c r="F51" s="34"/>
      <c r="G51" s="34"/>
      <c r="H51" s="34"/>
      <c r="I51" s="36"/>
      <c r="J51" s="36"/>
      <c r="K51" s="36"/>
      <c r="L51" s="36"/>
      <c r="M51" s="36"/>
    </row>
    <row r="52" spans="1:13" x14ac:dyDescent="0.25">
      <c r="A52" s="34"/>
      <c r="B52" s="34"/>
      <c r="C52" s="34"/>
      <c r="D52" s="34"/>
      <c r="E52" s="34"/>
      <c r="F52" s="34"/>
      <c r="G52" s="34"/>
      <c r="H52" s="34"/>
      <c r="I52" s="36"/>
      <c r="J52" s="36"/>
      <c r="K52" s="36"/>
      <c r="L52" s="36"/>
      <c r="M52" s="36"/>
    </row>
    <row r="53" spans="1:13" x14ac:dyDescent="0.25">
      <c r="A53" s="34"/>
      <c r="B53" s="34"/>
      <c r="C53" s="34"/>
      <c r="D53" s="34"/>
      <c r="E53" s="34"/>
      <c r="F53" s="34"/>
      <c r="G53" s="34"/>
      <c r="H53" s="34"/>
      <c r="I53" s="36"/>
      <c r="J53" s="36"/>
      <c r="K53" s="36"/>
      <c r="L53" s="36"/>
      <c r="M53" s="36"/>
    </row>
    <row r="54" spans="1:13" x14ac:dyDescent="0.25">
      <c r="A54" s="34"/>
      <c r="B54" s="34"/>
      <c r="C54" s="34"/>
      <c r="D54" s="34"/>
      <c r="E54" s="34"/>
      <c r="F54" s="34"/>
      <c r="G54" s="34"/>
      <c r="H54" s="34"/>
      <c r="I54" s="36"/>
      <c r="J54" s="36"/>
      <c r="K54" s="36"/>
      <c r="L54" s="36"/>
      <c r="M54" s="36"/>
    </row>
    <row r="55" spans="1:13" x14ac:dyDescent="0.25">
      <c r="A55" s="34"/>
      <c r="B55" s="34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</row>
    <row r="56" spans="1:13" x14ac:dyDescent="0.25">
      <c r="A56" s="34"/>
      <c r="B56" s="34"/>
      <c r="C56" s="34"/>
      <c r="D56" s="34"/>
      <c r="E56" s="34"/>
      <c r="F56" s="34"/>
      <c r="G56" s="34"/>
      <c r="H56" s="34"/>
      <c r="I56" s="36"/>
      <c r="J56" s="36"/>
      <c r="K56" s="36"/>
      <c r="L56" s="36"/>
      <c r="M56" s="36"/>
    </row>
    <row r="57" spans="1:13" x14ac:dyDescent="0.25">
      <c r="A57" s="34"/>
      <c r="B57" s="34"/>
      <c r="C57" s="34"/>
      <c r="D57" s="34"/>
      <c r="E57" s="34"/>
      <c r="F57" s="34"/>
      <c r="G57" s="34"/>
      <c r="H57" s="34"/>
      <c r="I57" s="36"/>
      <c r="J57" s="36"/>
      <c r="K57" s="36"/>
      <c r="L57" s="36"/>
      <c r="M57" s="36"/>
    </row>
    <row r="58" spans="1:13" x14ac:dyDescent="0.25">
      <c r="A58" s="34"/>
      <c r="B58" s="34"/>
      <c r="C58" s="34"/>
      <c r="D58" s="34"/>
      <c r="E58" s="34"/>
      <c r="F58" s="34"/>
      <c r="G58" s="34"/>
      <c r="H58" s="34"/>
      <c r="I58" s="36"/>
      <c r="J58" s="36"/>
      <c r="K58" s="36"/>
      <c r="L58" s="36"/>
      <c r="M58" s="36"/>
    </row>
    <row r="59" spans="1:13" x14ac:dyDescent="0.25">
      <c r="A59" s="34"/>
      <c r="B59" s="34"/>
      <c r="C59" s="34"/>
      <c r="D59" s="34"/>
      <c r="E59" s="34"/>
      <c r="F59" s="34"/>
      <c r="G59" s="34"/>
      <c r="H59" s="34"/>
      <c r="I59" s="36"/>
      <c r="J59" s="36"/>
      <c r="K59" s="36"/>
      <c r="L59" s="36"/>
      <c r="M59" s="36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6"/>
      <c r="J60" s="36"/>
      <c r="K60" s="36"/>
      <c r="L60" s="36"/>
      <c r="M60" s="36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6"/>
      <c r="J61" s="36"/>
      <c r="K61" s="36"/>
      <c r="L61" s="36"/>
      <c r="M61" s="36"/>
    </row>
    <row r="62" spans="1:13" x14ac:dyDescent="0.25">
      <c r="A62" s="34"/>
      <c r="B62" s="34"/>
      <c r="C62" s="34"/>
      <c r="D62" s="34"/>
      <c r="E62" s="34"/>
      <c r="F62" s="34"/>
      <c r="G62" s="34"/>
      <c r="H62" s="34"/>
      <c r="I62" s="36"/>
      <c r="J62" s="36"/>
      <c r="K62" s="36"/>
      <c r="L62" s="36"/>
      <c r="M62" s="36"/>
    </row>
    <row r="63" spans="1:13" x14ac:dyDescent="0.25">
      <c r="A63" s="34"/>
      <c r="B63" s="34"/>
      <c r="C63" s="34"/>
      <c r="D63" s="34"/>
      <c r="E63" s="34"/>
      <c r="F63" s="34"/>
      <c r="G63" s="34"/>
      <c r="H63" s="34"/>
      <c r="I63" s="36"/>
      <c r="J63" s="36"/>
      <c r="K63" s="36"/>
      <c r="L63" s="36"/>
      <c r="M63" s="36"/>
    </row>
    <row r="64" spans="1:13" x14ac:dyDescent="0.25">
      <c r="A64" s="34"/>
      <c r="B64" s="34"/>
      <c r="C64" s="34"/>
      <c r="D64" s="34"/>
      <c r="E64" s="34"/>
      <c r="F64" s="34"/>
      <c r="G64" s="34"/>
      <c r="H64" s="34"/>
      <c r="I64" s="36"/>
      <c r="J64" s="36"/>
      <c r="K64" s="36"/>
      <c r="L64" s="36"/>
      <c r="M64" s="36"/>
    </row>
    <row r="65" spans="1:13" x14ac:dyDescent="0.25">
      <c r="A65" s="34"/>
      <c r="B65" s="34"/>
      <c r="C65" s="34"/>
      <c r="D65" s="34"/>
      <c r="E65" s="34"/>
      <c r="F65" s="34"/>
      <c r="G65" s="34"/>
      <c r="H65" s="34"/>
      <c r="I65" s="36"/>
      <c r="J65" s="36"/>
      <c r="K65" s="36"/>
      <c r="L65" s="36"/>
      <c r="M65" s="36"/>
    </row>
    <row r="66" spans="1:13" x14ac:dyDescent="0.25">
      <c r="A66" s="34"/>
      <c r="B66" s="34"/>
      <c r="C66" s="34"/>
      <c r="D66" s="34"/>
      <c r="E66" s="34"/>
      <c r="F66" s="34"/>
      <c r="G66" s="34"/>
      <c r="H66" s="34"/>
      <c r="I66" s="36"/>
      <c r="J66" s="36"/>
      <c r="K66" s="36"/>
      <c r="L66" s="36"/>
      <c r="M66" s="36"/>
    </row>
    <row r="67" spans="1:13" x14ac:dyDescent="0.25">
      <c r="A67" s="34"/>
      <c r="B67" s="34"/>
      <c r="C67" s="34"/>
      <c r="D67" s="34"/>
      <c r="E67" s="34"/>
      <c r="F67" s="34"/>
      <c r="G67" s="34"/>
      <c r="H67" s="34"/>
      <c r="I67" s="36"/>
      <c r="J67" s="36"/>
      <c r="K67" s="36"/>
      <c r="L67" s="36"/>
      <c r="M67" s="36"/>
    </row>
    <row r="68" spans="1:13" x14ac:dyDescent="0.25">
      <c r="A68" s="34"/>
      <c r="B68" s="34"/>
      <c r="C68" s="34"/>
      <c r="D68" s="34"/>
      <c r="E68" s="34"/>
      <c r="F68" s="34"/>
      <c r="G68" s="34"/>
      <c r="H68" s="34"/>
      <c r="I68" s="36"/>
      <c r="J68" s="36"/>
      <c r="K68" s="36"/>
      <c r="L68" s="36"/>
      <c r="M68" s="36"/>
    </row>
    <row r="69" spans="1:13" x14ac:dyDescent="0.25">
      <c r="A69" s="34"/>
      <c r="B69" s="34"/>
      <c r="C69" s="34"/>
      <c r="D69" s="34"/>
      <c r="E69" s="34"/>
      <c r="F69" s="34"/>
      <c r="G69" s="34"/>
      <c r="H69" s="34"/>
      <c r="I69" s="36"/>
      <c r="J69" s="36"/>
      <c r="K69" s="36"/>
      <c r="L69" s="36"/>
      <c r="M69" s="36"/>
    </row>
    <row r="70" spans="1:13" x14ac:dyDescent="0.25">
      <c r="A70" s="34"/>
      <c r="B70" s="34"/>
      <c r="C70" s="34"/>
      <c r="D70" s="34"/>
      <c r="E70" s="34"/>
      <c r="F70" s="34"/>
      <c r="G70" s="34"/>
      <c r="H70" s="34"/>
      <c r="I70" s="36"/>
      <c r="J70" s="36"/>
      <c r="K70" s="36"/>
      <c r="L70" s="36"/>
      <c r="M70" s="36"/>
    </row>
    <row r="71" spans="1:13" x14ac:dyDescent="0.25">
      <c r="A71" s="34"/>
      <c r="B71" s="34"/>
      <c r="C71" s="34"/>
      <c r="D71" s="34"/>
      <c r="E71" s="34"/>
      <c r="F71" s="34"/>
      <c r="G71" s="34"/>
      <c r="H71" s="34"/>
      <c r="I71" s="36"/>
      <c r="J71" s="36"/>
      <c r="K71" s="36"/>
      <c r="L71" s="36"/>
      <c r="M71" s="36"/>
    </row>
    <row r="72" spans="1:13" x14ac:dyDescent="0.25">
      <c r="A72" s="34"/>
      <c r="B72" s="34"/>
      <c r="C72" s="34"/>
      <c r="D72" s="34"/>
      <c r="E72" s="34"/>
      <c r="F72" s="34"/>
      <c r="G72" s="34"/>
      <c r="H72" s="34"/>
      <c r="I72" s="36"/>
      <c r="J72" s="36"/>
      <c r="K72" s="36"/>
      <c r="L72" s="36"/>
      <c r="M72" s="36"/>
    </row>
    <row r="73" spans="1:13" x14ac:dyDescent="0.25">
      <c r="A73" s="34"/>
      <c r="B73" s="34"/>
      <c r="C73" s="34"/>
      <c r="D73" s="34"/>
      <c r="E73" s="34"/>
      <c r="F73" s="34"/>
      <c r="G73" s="34"/>
      <c r="H73" s="34"/>
      <c r="I73" s="36"/>
      <c r="J73" s="36"/>
      <c r="K73" s="36"/>
      <c r="L73" s="36"/>
      <c r="M73" s="36"/>
    </row>
    <row r="74" spans="1:13" x14ac:dyDescent="0.25">
      <c r="A74" s="34"/>
      <c r="B74" s="34"/>
      <c r="C74" s="34"/>
      <c r="D74" s="34"/>
      <c r="E74" s="34"/>
      <c r="F74" s="34"/>
      <c r="G74" s="34"/>
      <c r="H74" s="34"/>
      <c r="I74" s="36"/>
      <c r="J74" s="36"/>
      <c r="K74" s="36"/>
      <c r="L74" s="36"/>
      <c r="M74" s="36"/>
    </row>
    <row r="75" spans="1:13" x14ac:dyDescent="0.25">
      <c r="A75" s="34"/>
      <c r="B75" s="34"/>
      <c r="C75" s="34"/>
      <c r="D75" s="34"/>
      <c r="E75" s="34"/>
      <c r="F75" s="34"/>
      <c r="G75" s="34"/>
      <c r="H75" s="34"/>
      <c r="I75" s="36"/>
      <c r="J75" s="36"/>
      <c r="K75" s="36"/>
      <c r="L75" s="36"/>
      <c r="M75" s="36"/>
    </row>
    <row r="76" spans="1:13" x14ac:dyDescent="0.25">
      <c r="A76" s="34"/>
      <c r="B76" s="34"/>
      <c r="C76" s="34"/>
      <c r="D76" s="34"/>
      <c r="E76" s="34"/>
      <c r="F76" s="34"/>
      <c r="G76" s="34"/>
      <c r="H76" s="34"/>
      <c r="I76" s="36"/>
      <c r="J76" s="36"/>
      <c r="K76" s="36"/>
      <c r="L76" s="36"/>
      <c r="M76" s="36"/>
    </row>
    <row r="77" spans="1:13" x14ac:dyDescent="0.25">
      <c r="A77" s="34"/>
      <c r="B77" s="34"/>
      <c r="C77" s="34"/>
      <c r="D77" s="34"/>
      <c r="E77" s="34"/>
      <c r="F77" s="34"/>
      <c r="G77" s="34"/>
      <c r="H77" s="34"/>
      <c r="I77" s="36"/>
      <c r="J77" s="36"/>
      <c r="K77" s="36"/>
      <c r="L77" s="36"/>
      <c r="M77" s="36"/>
    </row>
    <row r="78" spans="1:13" x14ac:dyDescent="0.25">
      <c r="A78" s="34"/>
      <c r="B78" s="34"/>
      <c r="C78" s="34"/>
      <c r="D78" s="34"/>
      <c r="E78" s="34"/>
      <c r="F78" s="34"/>
      <c r="G78" s="34"/>
      <c r="H78" s="34"/>
      <c r="I78" s="36"/>
      <c r="J78" s="36"/>
      <c r="K78" s="36"/>
      <c r="L78" s="36"/>
      <c r="M78" s="36"/>
    </row>
    <row r="79" spans="1:13" x14ac:dyDescent="0.25">
      <c r="A79" s="34"/>
      <c r="B79" s="34"/>
      <c r="C79" s="34"/>
      <c r="D79" s="34"/>
      <c r="E79" s="34"/>
      <c r="F79" s="34"/>
      <c r="G79" s="34"/>
      <c r="H79" s="34"/>
      <c r="I79" s="36"/>
      <c r="J79" s="36"/>
      <c r="K79" s="36"/>
      <c r="L79" s="36"/>
      <c r="M79" s="36"/>
    </row>
    <row r="80" spans="1:13" x14ac:dyDescent="0.25">
      <c r="A80" s="34"/>
      <c r="B80" s="34"/>
      <c r="C80" s="34"/>
      <c r="D80" s="34"/>
      <c r="E80" s="34"/>
      <c r="F80" s="34"/>
      <c r="G80" s="34"/>
      <c r="H80" s="34"/>
      <c r="I80" s="36"/>
      <c r="J80" s="36"/>
      <c r="K80" s="36"/>
      <c r="L80" s="36"/>
      <c r="M80" s="36"/>
    </row>
    <row r="81" spans="1:13" x14ac:dyDescent="0.25">
      <c r="A81" s="34"/>
      <c r="B81" s="34"/>
      <c r="C81" s="34"/>
      <c r="D81" s="34"/>
      <c r="E81" s="34"/>
      <c r="F81" s="34"/>
      <c r="G81" s="34"/>
      <c r="H81" s="34"/>
      <c r="I81" s="36"/>
      <c r="J81" s="36"/>
      <c r="K81" s="36"/>
      <c r="L81" s="36"/>
      <c r="M81" s="36"/>
    </row>
    <row r="82" spans="1:13" x14ac:dyDescent="0.25">
      <c r="A82" s="34"/>
      <c r="B82" s="34"/>
      <c r="C82" s="34"/>
      <c r="D82" s="34"/>
      <c r="E82" s="34"/>
      <c r="F82" s="34"/>
      <c r="G82" s="34"/>
      <c r="H82" s="34"/>
      <c r="I82" s="36"/>
      <c r="J82" s="36"/>
      <c r="K82" s="36"/>
      <c r="L82" s="36"/>
      <c r="M82" s="36"/>
    </row>
    <row r="83" spans="1:13" x14ac:dyDescent="0.25">
      <c r="A83" s="34"/>
      <c r="B83" s="34"/>
      <c r="C83" s="34"/>
      <c r="D83" s="34"/>
      <c r="E83" s="34"/>
      <c r="F83" s="34"/>
      <c r="G83" s="34"/>
      <c r="H83" s="34"/>
      <c r="I83" s="36"/>
      <c r="J83" s="36"/>
      <c r="K83" s="36"/>
      <c r="L83" s="36"/>
      <c r="M83" s="36"/>
    </row>
    <row r="84" spans="1:13" x14ac:dyDescent="0.25">
      <c r="A84" s="34"/>
      <c r="B84" s="34"/>
      <c r="C84" s="34"/>
      <c r="D84" s="34"/>
      <c r="E84" s="34"/>
      <c r="F84" s="34"/>
      <c r="G84" s="34"/>
      <c r="H84" s="34"/>
      <c r="I84" s="36"/>
      <c r="J84" s="36"/>
      <c r="K84" s="36"/>
      <c r="L84" s="36"/>
      <c r="M84" s="36"/>
    </row>
    <row r="85" spans="1:13" x14ac:dyDescent="0.25">
      <c r="A85" s="34"/>
      <c r="B85" s="34"/>
      <c r="C85" s="34"/>
      <c r="D85" s="34"/>
      <c r="E85" s="34"/>
      <c r="F85" s="34"/>
      <c r="G85" s="34"/>
      <c r="H85" s="34"/>
      <c r="I85" s="36"/>
      <c r="J85" s="36"/>
      <c r="K85" s="36"/>
      <c r="L85" s="36"/>
      <c r="M85" s="36"/>
    </row>
    <row r="86" spans="1:13" x14ac:dyDescent="0.25">
      <c r="A86" s="34"/>
      <c r="B86" s="34"/>
      <c r="C86" s="34"/>
      <c r="D86" s="34"/>
      <c r="E86" s="34"/>
      <c r="F86" s="34"/>
      <c r="G86" s="34"/>
      <c r="H86" s="34"/>
      <c r="I86" s="36"/>
      <c r="J86" s="36"/>
      <c r="K86" s="36"/>
      <c r="L86" s="36"/>
      <c r="M86" s="36"/>
    </row>
    <row r="87" spans="1:13" x14ac:dyDescent="0.25">
      <c r="A87" s="34"/>
      <c r="B87" s="34"/>
      <c r="C87" s="34"/>
      <c r="D87" s="34"/>
      <c r="E87" s="34"/>
      <c r="F87" s="34"/>
      <c r="G87" s="34"/>
      <c r="H87" s="34"/>
      <c r="I87" s="36"/>
      <c r="J87" s="36"/>
      <c r="K87" s="36"/>
      <c r="L87" s="36"/>
      <c r="M87" s="36"/>
    </row>
    <row r="88" spans="1:13" x14ac:dyDescent="0.25">
      <c r="A88" s="34"/>
      <c r="B88" s="34"/>
      <c r="C88" s="34"/>
      <c r="D88" s="34"/>
      <c r="E88" s="34"/>
      <c r="F88" s="34"/>
      <c r="G88" s="34"/>
      <c r="H88" s="34"/>
      <c r="I88" s="36"/>
      <c r="J88" s="36"/>
      <c r="K88" s="36"/>
      <c r="L88" s="36"/>
      <c r="M88" s="36"/>
    </row>
    <row r="89" spans="1:13" x14ac:dyDescent="0.25">
      <c r="A89" s="34"/>
      <c r="B89" s="34"/>
      <c r="C89" s="34"/>
      <c r="D89" s="34"/>
      <c r="E89" s="34"/>
      <c r="F89" s="34"/>
      <c r="G89" s="34"/>
      <c r="H89" s="34"/>
      <c r="I89" s="36"/>
      <c r="J89" s="36"/>
      <c r="K89" s="36"/>
      <c r="L89" s="36"/>
      <c r="M89" s="36"/>
    </row>
    <row r="90" spans="1:13" x14ac:dyDescent="0.25">
      <c r="A90" s="34"/>
      <c r="B90" s="34"/>
      <c r="C90" s="34"/>
      <c r="D90" s="34"/>
      <c r="E90" s="34"/>
      <c r="F90" s="34"/>
      <c r="G90" s="34"/>
      <c r="H90" s="34"/>
      <c r="I90" s="36"/>
      <c r="J90" s="36"/>
      <c r="K90" s="36"/>
      <c r="L90" s="36"/>
      <c r="M90" s="36"/>
    </row>
    <row r="91" spans="1:13" x14ac:dyDescent="0.25">
      <c r="A91" s="34"/>
      <c r="B91" s="34"/>
      <c r="C91" s="34"/>
      <c r="D91" s="34"/>
      <c r="E91" s="34"/>
      <c r="F91" s="34"/>
      <c r="G91" s="34"/>
      <c r="H91" s="34"/>
      <c r="I91" s="36"/>
      <c r="J91" s="36"/>
      <c r="K91" s="36"/>
      <c r="L91" s="36"/>
      <c r="M91" s="36"/>
    </row>
    <row r="92" spans="1:13" x14ac:dyDescent="0.25">
      <c r="A92" s="34"/>
      <c r="B92" s="34"/>
      <c r="C92" s="34"/>
      <c r="D92" s="34"/>
      <c r="E92" s="34"/>
      <c r="F92" s="34"/>
      <c r="G92" s="34"/>
      <c r="H92" s="34"/>
      <c r="I92" s="36"/>
      <c r="J92" s="36"/>
      <c r="K92" s="36"/>
      <c r="L92" s="36"/>
      <c r="M92" s="36"/>
    </row>
    <row r="93" spans="1:13" x14ac:dyDescent="0.25">
      <c r="A93" s="34"/>
      <c r="B93" s="34"/>
      <c r="C93" s="34"/>
      <c r="D93" s="34"/>
      <c r="E93" s="34"/>
      <c r="F93" s="34"/>
      <c r="G93" s="34"/>
      <c r="H93" s="34"/>
      <c r="I93" s="36"/>
      <c r="J93" s="36"/>
      <c r="K93" s="36"/>
      <c r="L93" s="36"/>
      <c r="M93" s="36"/>
    </row>
    <row r="94" spans="1:13" x14ac:dyDescent="0.25">
      <c r="A94" s="34"/>
      <c r="B94" s="34"/>
      <c r="C94" s="34"/>
      <c r="D94" s="34"/>
      <c r="E94" s="34"/>
      <c r="F94" s="34"/>
      <c r="G94" s="34"/>
      <c r="H94" s="34"/>
      <c r="I94" s="36"/>
      <c r="J94" s="36"/>
      <c r="K94" s="36"/>
      <c r="L94" s="36"/>
      <c r="M94" s="36"/>
    </row>
    <row r="95" spans="1:13" x14ac:dyDescent="0.25">
      <c r="A95" s="34"/>
      <c r="B95" s="34"/>
      <c r="C95" s="34"/>
      <c r="D95" s="34"/>
      <c r="E95" s="34"/>
      <c r="F95" s="34"/>
      <c r="G95" s="34"/>
      <c r="H95" s="34"/>
      <c r="I95" s="36"/>
      <c r="J95" s="36"/>
      <c r="K95" s="36"/>
      <c r="L95" s="36"/>
      <c r="M95" s="36"/>
    </row>
    <row r="96" spans="1:13" x14ac:dyDescent="0.25">
      <c r="A96" s="34"/>
      <c r="B96" s="34"/>
      <c r="C96" s="34"/>
      <c r="D96" s="34"/>
      <c r="E96" s="34"/>
      <c r="F96" s="34"/>
      <c r="G96" s="34"/>
      <c r="H96" s="34"/>
      <c r="I96" s="36"/>
      <c r="J96" s="36"/>
      <c r="K96" s="36"/>
      <c r="L96" s="36"/>
      <c r="M96" s="36"/>
    </row>
    <row r="97" spans="1:13" x14ac:dyDescent="0.25">
      <c r="A97" s="34"/>
      <c r="B97" s="34"/>
      <c r="C97" s="34"/>
      <c r="D97" s="34"/>
      <c r="E97" s="34"/>
      <c r="F97" s="34"/>
      <c r="G97" s="34"/>
      <c r="H97" s="34"/>
      <c r="I97" s="36"/>
      <c r="J97" s="36"/>
      <c r="K97" s="36"/>
      <c r="L97" s="36"/>
      <c r="M97" s="36"/>
    </row>
    <row r="98" spans="1:13" x14ac:dyDescent="0.25">
      <c r="A98" s="34"/>
      <c r="B98" s="34"/>
      <c r="C98" s="34"/>
      <c r="D98" s="34"/>
      <c r="E98" s="34"/>
      <c r="F98" s="34"/>
      <c r="G98" s="34"/>
      <c r="H98" s="34"/>
      <c r="I98" s="36"/>
      <c r="J98" s="36"/>
      <c r="K98" s="36"/>
      <c r="L98" s="36"/>
      <c r="M98" s="36"/>
    </row>
    <row r="99" spans="1:13" x14ac:dyDescent="0.25">
      <c r="A99" s="34"/>
      <c r="B99" s="34"/>
      <c r="C99" s="34"/>
      <c r="D99" s="34"/>
      <c r="E99" s="34"/>
      <c r="F99" s="34"/>
      <c r="G99" s="34"/>
      <c r="H99" s="34"/>
      <c r="I99" s="36"/>
      <c r="J99" s="36"/>
      <c r="K99" s="36"/>
      <c r="L99" s="36"/>
      <c r="M99" s="36"/>
    </row>
    <row r="100" spans="1:13" x14ac:dyDescent="0.25">
      <c r="A100" s="34"/>
      <c r="B100" s="34"/>
      <c r="C100" s="34"/>
      <c r="D100" s="34"/>
      <c r="E100" s="34"/>
      <c r="F100" s="34"/>
      <c r="G100" s="34"/>
      <c r="H100" s="34"/>
      <c r="I100" s="36"/>
      <c r="J100" s="36"/>
      <c r="K100" s="36"/>
      <c r="L100" s="36"/>
      <c r="M100" s="36"/>
    </row>
    <row r="101" spans="1:13" x14ac:dyDescent="0.25">
      <c r="A101" s="34"/>
      <c r="B101" s="34"/>
      <c r="C101" s="34"/>
      <c r="D101" s="34"/>
      <c r="E101" s="34"/>
      <c r="F101" s="34"/>
      <c r="G101" s="34"/>
      <c r="H101" s="34"/>
      <c r="I101" s="36"/>
      <c r="J101" s="36"/>
      <c r="K101" s="36"/>
      <c r="L101" s="36"/>
      <c r="M101" s="36"/>
    </row>
    <row r="102" spans="1:13" x14ac:dyDescent="0.25">
      <c r="A102" s="34"/>
      <c r="B102" s="34"/>
      <c r="C102" s="34"/>
      <c r="D102" s="34"/>
      <c r="E102" s="34"/>
      <c r="F102" s="34"/>
      <c r="G102" s="34"/>
      <c r="H102" s="34"/>
      <c r="I102" s="36"/>
      <c r="J102" s="36"/>
      <c r="K102" s="36"/>
      <c r="L102" s="36"/>
      <c r="M102" s="36"/>
    </row>
    <row r="103" spans="1:13" x14ac:dyDescent="0.25">
      <c r="A103" s="34"/>
      <c r="B103" s="34"/>
      <c r="C103" s="34"/>
      <c r="D103" s="34"/>
      <c r="E103" s="34"/>
      <c r="F103" s="34"/>
      <c r="G103" s="34"/>
      <c r="H103" s="34"/>
      <c r="I103" s="36"/>
      <c r="J103" s="36"/>
      <c r="K103" s="36"/>
      <c r="L103" s="36"/>
      <c r="M103" s="36"/>
    </row>
    <row r="104" spans="1:13" x14ac:dyDescent="0.25">
      <c r="A104" s="34"/>
      <c r="B104" s="34"/>
      <c r="C104" s="34"/>
      <c r="D104" s="34"/>
      <c r="E104" s="34"/>
      <c r="F104" s="34"/>
      <c r="G104" s="34"/>
      <c r="H104" s="34"/>
      <c r="I104" s="36"/>
      <c r="J104" s="36"/>
      <c r="K104" s="36"/>
      <c r="L104" s="36"/>
      <c r="M104" s="36"/>
    </row>
    <row r="105" spans="1:13" x14ac:dyDescent="0.25">
      <c r="A105" s="34"/>
      <c r="B105" s="34"/>
      <c r="C105" s="34"/>
      <c r="D105" s="34"/>
      <c r="E105" s="34"/>
      <c r="F105" s="34"/>
      <c r="G105" s="34"/>
      <c r="H105" s="34"/>
      <c r="I105" s="36"/>
      <c r="J105" s="36"/>
      <c r="K105" s="36"/>
      <c r="L105" s="36"/>
      <c r="M105" s="36"/>
    </row>
    <row r="106" spans="1:13" x14ac:dyDescent="0.25">
      <c r="A106" s="34"/>
      <c r="B106" s="34"/>
      <c r="C106" s="34"/>
      <c r="D106" s="34"/>
      <c r="E106" s="34"/>
      <c r="F106" s="34"/>
      <c r="G106" s="34"/>
      <c r="H106" s="34"/>
      <c r="I106" s="36"/>
      <c r="J106" s="36"/>
      <c r="K106" s="36"/>
      <c r="L106" s="36"/>
      <c r="M106" s="36"/>
    </row>
    <row r="107" spans="1:13" x14ac:dyDescent="0.25">
      <c r="A107" s="34"/>
      <c r="B107" s="34"/>
      <c r="C107" s="34"/>
      <c r="D107" s="34"/>
      <c r="E107" s="34"/>
      <c r="F107" s="34"/>
      <c r="G107" s="34"/>
      <c r="H107" s="34"/>
      <c r="I107" s="36"/>
      <c r="J107" s="36"/>
      <c r="K107" s="36"/>
      <c r="L107" s="36"/>
      <c r="M107" s="36"/>
    </row>
    <row r="108" spans="1:13" x14ac:dyDescent="0.25">
      <c r="A108" s="34"/>
      <c r="B108" s="34"/>
      <c r="C108" s="34"/>
      <c r="D108" s="34"/>
      <c r="E108" s="34"/>
      <c r="F108" s="34"/>
      <c r="G108" s="34"/>
      <c r="H108" s="34"/>
      <c r="I108" s="36"/>
      <c r="J108" s="36"/>
      <c r="K108" s="36"/>
      <c r="L108" s="36"/>
      <c r="M108" s="36"/>
    </row>
    <row r="109" spans="1:13" x14ac:dyDescent="0.25">
      <c r="A109" s="34"/>
      <c r="B109" s="34"/>
      <c r="C109" s="34"/>
      <c r="D109" s="34"/>
      <c r="E109" s="34"/>
      <c r="F109" s="34"/>
      <c r="G109" s="34"/>
      <c r="H109" s="34"/>
      <c r="I109" s="36"/>
      <c r="J109" s="36"/>
      <c r="K109" s="36"/>
      <c r="L109" s="36"/>
      <c r="M109" s="36"/>
    </row>
    <row r="110" spans="1:13" x14ac:dyDescent="0.25">
      <c r="A110" s="34"/>
      <c r="B110" s="34"/>
      <c r="C110" s="34"/>
      <c r="D110" s="34"/>
      <c r="E110" s="34"/>
      <c r="F110" s="34"/>
      <c r="G110" s="34"/>
      <c r="H110" s="34"/>
      <c r="I110" s="36"/>
      <c r="J110" s="36"/>
      <c r="K110" s="36"/>
      <c r="L110" s="36"/>
      <c r="M110" s="36"/>
    </row>
    <row r="111" spans="1:13" x14ac:dyDescent="0.25">
      <c r="A111" s="34"/>
      <c r="B111" s="34"/>
      <c r="C111" s="34"/>
      <c r="D111" s="34"/>
      <c r="E111" s="34"/>
      <c r="F111" s="34"/>
      <c r="G111" s="34"/>
      <c r="H111" s="34"/>
      <c r="I111" s="36"/>
      <c r="J111" s="36"/>
      <c r="K111" s="36"/>
      <c r="L111" s="36"/>
      <c r="M111" s="36"/>
    </row>
    <row r="112" spans="1:13" x14ac:dyDescent="0.25">
      <c r="A112" s="34"/>
      <c r="B112" s="34"/>
      <c r="C112" s="34"/>
      <c r="D112" s="34"/>
      <c r="E112" s="34"/>
      <c r="F112" s="34"/>
      <c r="G112" s="34"/>
      <c r="H112" s="34"/>
      <c r="I112" s="36"/>
      <c r="J112" s="36"/>
      <c r="K112" s="36"/>
      <c r="L112" s="36"/>
      <c r="M112" s="36"/>
    </row>
    <row r="113" spans="1:13" x14ac:dyDescent="0.25">
      <c r="A113" s="34"/>
      <c r="B113" s="34"/>
      <c r="C113" s="34"/>
      <c r="D113" s="34"/>
      <c r="E113" s="34"/>
      <c r="F113" s="34"/>
      <c r="G113" s="34"/>
      <c r="H113" s="34"/>
      <c r="I113" s="36"/>
      <c r="J113" s="36"/>
      <c r="K113" s="36"/>
      <c r="L113" s="36"/>
      <c r="M113" s="36"/>
    </row>
    <row r="114" spans="1:13" x14ac:dyDescent="0.25">
      <c r="A114" s="34"/>
      <c r="B114" s="34"/>
      <c r="C114" s="34"/>
      <c r="D114" s="34"/>
      <c r="E114" s="34"/>
      <c r="F114" s="34"/>
      <c r="G114" s="34"/>
      <c r="H114" s="34"/>
      <c r="I114" s="36"/>
      <c r="J114" s="36"/>
      <c r="K114" s="36"/>
      <c r="L114" s="36"/>
      <c r="M114" s="36"/>
    </row>
    <row r="115" spans="1:13" x14ac:dyDescent="0.25">
      <c r="A115" s="34"/>
      <c r="B115" s="34"/>
      <c r="C115" s="34"/>
      <c r="D115" s="34"/>
      <c r="E115" s="34"/>
      <c r="F115" s="34"/>
      <c r="G115" s="34"/>
      <c r="H115" s="34"/>
      <c r="I115" s="36"/>
      <c r="J115" s="36"/>
      <c r="K115" s="36"/>
      <c r="L115" s="36"/>
      <c r="M115" s="36"/>
    </row>
    <row r="116" spans="1:13" x14ac:dyDescent="0.25">
      <c r="A116" s="34"/>
      <c r="B116" s="34"/>
      <c r="C116" s="34"/>
      <c r="D116" s="34"/>
      <c r="E116" s="34"/>
      <c r="F116" s="34"/>
      <c r="G116" s="34"/>
      <c r="H116" s="34"/>
      <c r="I116" s="36"/>
      <c r="J116" s="36"/>
      <c r="K116" s="36"/>
      <c r="L116" s="36"/>
      <c r="M116" s="36"/>
    </row>
    <row r="117" spans="1:13" x14ac:dyDescent="0.25">
      <c r="A117" s="34"/>
      <c r="B117" s="34"/>
      <c r="C117" s="34"/>
      <c r="D117" s="34"/>
      <c r="E117" s="34"/>
      <c r="F117" s="34"/>
      <c r="G117" s="34"/>
      <c r="H117" s="34"/>
      <c r="I117" s="36"/>
      <c r="J117" s="36"/>
      <c r="K117" s="36"/>
      <c r="L117" s="36"/>
      <c r="M117" s="36"/>
    </row>
    <row r="118" spans="1:13" x14ac:dyDescent="0.25">
      <c r="A118" s="34"/>
      <c r="B118" s="34"/>
      <c r="C118" s="34"/>
      <c r="D118" s="34"/>
      <c r="E118" s="34"/>
      <c r="F118" s="34"/>
      <c r="G118" s="34"/>
      <c r="H118" s="34"/>
      <c r="I118" s="36"/>
      <c r="J118" s="36"/>
      <c r="K118" s="36"/>
      <c r="L118" s="36"/>
      <c r="M118" s="36"/>
    </row>
    <row r="119" spans="1:13" x14ac:dyDescent="0.25">
      <c r="A119" s="34"/>
      <c r="B119" s="34"/>
      <c r="C119" s="34"/>
      <c r="D119" s="34"/>
      <c r="E119" s="34"/>
      <c r="F119" s="34"/>
      <c r="G119" s="34"/>
      <c r="H119" s="34"/>
      <c r="I119" s="36"/>
      <c r="J119" s="36"/>
      <c r="K119" s="36"/>
      <c r="L119" s="36"/>
      <c r="M119" s="36"/>
    </row>
    <row r="120" spans="1:13" x14ac:dyDescent="0.25">
      <c r="A120" s="34"/>
      <c r="B120" s="34"/>
      <c r="C120" s="34"/>
      <c r="D120" s="34"/>
      <c r="E120" s="34"/>
      <c r="F120" s="34"/>
      <c r="G120" s="34"/>
      <c r="H120" s="34"/>
      <c r="I120" s="36"/>
      <c r="J120" s="36"/>
      <c r="K120" s="36"/>
      <c r="L120" s="36"/>
      <c r="M120" s="36"/>
    </row>
    <row r="121" spans="1:13" x14ac:dyDescent="0.25">
      <c r="A121" s="34"/>
      <c r="B121" s="34"/>
      <c r="C121" s="34"/>
      <c r="D121" s="34"/>
      <c r="E121" s="34"/>
      <c r="F121" s="34"/>
      <c r="G121" s="34"/>
      <c r="H121" s="34"/>
      <c r="I121" s="36"/>
      <c r="J121" s="36"/>
      <c r="K121" s="36"/>
      <c r="L121" s="36"/>
      <c r="M121" s="36"/>
    </row>
    <row r="122" spans="1:13" x14ac:dyDescent="0.25">
      <c r="A122" s="34"/>
      <c r="B122" s="34"/>
      <c r="C122" s="34"/>
      <c r="D122" s="34"/>
      <c r="E122" s="34"/>
      <c r="F122" s="34"/>
      <c r="G122" s="34"/>
      <c r="H122" s="34"/>
      <c r="I122" s="36"/>
      <c r="J122" s="36"/>
      <c r="K122" s="36"/>
      <c r="L122" s="36"/>
      <c r="M122" s="36"/>
    </row>
    <row r="123" spans="1:13" x14ac:dyDescent="0.25">
      <c r="A123" s="34"/>
      <c r="B123" s="34"/>
      <c r="C123" s="34"/>
      <c r="D123" s="34"/>
      <c r="E123" s="34"/>
      <c r="F123" s="34"/>
      <c r="G123" s="34"/>
      <c r="H123" s="34"/>
      <c r="I123" s="36"/>
      <c r="J123" s="36"/>
      <c r="K123" s="36"/>
      <c r="L123" s="36"/>
      <c r="M123" s="36"/>
    </row>
    <row r="124" spans="1:13" x14ac:dyDescent="0.25">
      <c r="A124" s="34"/>
      <c r="B124" s="34"/>
      <c r="C124" s="34"/>
      <c r="D124" s="34"/>
      <c r="E124" s="34"/>
      <c r="F124" s="34"/>
      <c r="G124" s="34"/>
      <c r="H124" s="34"/>
      <c r="I124" s="36"/>
      <c r="J124" s="36"/>
      <c r="K124" s="36"/>
      <c r="L124" s="36"/>
      <c r="M124" s="36"/>
    </row>
    <row r="125" spans="1:13" x14ac:dyDescent="0.25">
      <c r="A125" s="34"/>
      <c r="B125" s="34"/>
      <c r="C125" s="34"/>
      <c r="D125" s="34"/>
      <c r="E125" s="34"/>
      <c r="F125" s="34"/>
      <c r="G125" s="34"/>
      <c r="H125" s="34"/>
      <c r="I125" s="36"/>
      <c r="J125" s="36"/>
      <c r="K125" s="36"/>
      <c r="L125" s="36"/>
      <c r="M125" s="36"/>
    </row>
    <row r="126" spans="1:13" x14ac:dyDescent="0.25">
      <c r="A126" s="34"/>
      <c r="B126" s="34"/>
      <c r="C126" s="34"/>
      <c r="D126" s="34"/>
      <c r="E126" s="34"/>
      <c r="F126" s="34"/>
      <c r="G126" s="34"/>
      <c r="H126" s="34"/>
      <c r="I126" s="36"/>
      <c r="J126" s="36"/>
      <c r="K126" s="36"/>
      <c r="L126" s="36"/>
      <c r="M126" s="36"/>
    </row>
    <row r="127" spans="1:13" x14ac:dyDescent="0.25">
      <c r="A127" s="34"/>
      <c r="B127" s="34"/>
      <c r="C127" s="34"/>
      <c r="D127" s="34"/>
      <c r="E127" s="34"/>
      <c r="F127" s="34"/>
      <c r="G127" s="34"/>
      <c r="H127" s="34"/>
      <c r="I127" s="36"/>
      <c r="J127" s="36"/>
      <c r="K127" s="36"/>
      <c r="L127" s="36"/>
      <c r="M127" s="36"/>
    </row>
    <row r="128" spans="1:13" x14ac:dyDescent="0.25">
      <c r="A128" s="34"/>
      <c r="B128" s="34"/>
      <c r="C128" s="34"/>
      <c r="D128" s="34"/>
      <c r="E128" s="34"/>
      <c r="F128" s="34"/>
      <c r="G128" s="34"/>
      <c r="H128" s="34"/>
      <c r="I128" s="36"/>
      <c r="J128" s="36"/>
      <c r="K128" s="36"/>
      <c r="L128" s="36"/>
      <c r="M128" s="36"/>
    </row>
    <row r="129" spans="1:13" x14ac:dyDescent="0.25">
      <c r="A129" s="34"/>
      <c r="B129" s="34"/>
      <c r="C129" s="34"/>
      <c r="D129" s="34"/>
      <c r="E129" s="34"/>
      <c r="F129" s="34"/>
      <c r="G129" s="34"/>
      <c r="H129" s="34"/>
      <c r="I129" s="36"/>
      <c r="J129" s="36"/>
      <c r="K129" s="36"/>
      <c r="L129" s="36"/>
      <c r="M129" s="36"/>
    </row>
    <row r="130" spans="1:13" x14ac:dyDescent="0.25">
      <c r="A130" s="34"/>
      <c r="B130" s="34"/>
      <c r="C130" s="34"/>
      <c r="D130" s="34"/>
      <c r="E130" s="34"/>
      <c r="F130" s="34"/>
      <c r="G130" s="34"/>
      <c r="H130" s="34"/>
      <c r="I130" s="36"/>
      <c r="J130" s="36"/>
      <c r="K130" s="36"/>
      <c r="L130" s="36"/>
      <c r="M130" s="36"/>
    </row>
    <row r="131" spans="1:13" x14ac:dyDescent="0.25">
      <c r="A131" s="34"/>
      <c r="B131" s="34"/>
      <c r="C131" s="34"/>
      <c r="D131" s="34"/>
      <c r="E131" s="34"/>
      <c r="F131" s="34"/>
      <c r="G131" s="34"/>
      <c r="H131" s="34"/>
      <c r="I131" s="36"/>
      <c r="J131" s="36"/>
      <c r="K131" s="36"/>
      <c r="L131" s="36"/>
      <c r="M131" s="36"/>
    </row>
    <row r="132" spans="1:13" x14ac:dyDescent="0.25">
      <c r="A132" s="34"/>
      <c r="B132" s="34"/>
      <c r="C132" s="34"/>
      <c r="D132" s="34"/>
      <c r="E132" s="34"/>
      <c r="F132" s="34"/>
      <c r="G132" s="34"/>
      <c r="H132" s="34"/>
      <c r="I132" s="36"/>
      <c r="J132" s="36"/>
      <c r="K132" s="36"/>
      <c r="L132" s="36"/>
      <c r="M132" s="36"/>
    </row>
    <row r="133" spans="1:13" x14ac:dyDescent="0.25">
      <c r="A133" s="34"/>
      <c r="B133" s="34"/>
      <c r="C133" s="34"/>
      <c r="D133" s="34"/>
      <c r="E133" s="34"/>
      <c r="F133" s="34"/>
      <c r="G133" s="34"/>
      <c r="H133" s="34"/>
      <c r="I133" s="36"/>
      <c r="J133" s="36"/>
      <c r="K133" s="36"/>
      <c r="L133" s="36"/>
      <c r="M133" s="36"/>
    </row>
    <row r="134" spans="1:13" x14ac:dyDescent="0.25">
      <c r="A134" s="34"/>
      <c r="B134" s="34"/>
      <c r="C134" s="34"/>
      <c r="D134" s="34"/>
      <c r="E134" s="34"/>
      <c r="F134" s="34"/>
      <c r="G134" s="34"/>
      <c r="H134" s="34"/>
      <c r="I134" s="36"/>
      <c r="J134" s="36"/>
      <c r="K134" s="36"/>
      <c r="L134" s="36"/>
      <c r="M134" s="36"/>
    </row>
    <row r="135" spans="1:13" x14ac:dyDescent="0.25">
      <c r="A135" s="34"/>
      <c r="B135" s="34"/>
      <c r="C135" s="34"/>
      <c r="D135" s="34"/>
      <c r="E135" s="34"/>
      <c r="F135" s="34"/>
      <c r="G135" s="34"/>
      <c r="H135" s="34"/>
      <c r="I135" s="36"/>
      <c r="J135" s="36"/>
      <c r="K135" s="36"/>
      <c r="L135" s="36"/>
      <c r="M135" s="36"/>
    </row>
    <row r="136" spans="1:13" x14ac:dyDescent="0.25">
      <c r="A136" s="34"/>
      <c r="B136" s="34"/>
      <c r="C136" s="34"/>
      <c r="D136" s="34"/>
      <c r="E136" s="34"/>
      <c r="F136" s="34"/>
      <c r="G136" s="34"/>
      <c r="H136" s="34"/>
      <c r="I136" s="36"/>
      <c r="J136" s="36"/>
      <c r="K136" s="36"/>
      <c r="L136" s="36"/>
      <c r="M136" s="36"/>
    </row>
    <row r="137" spans="1:13" x14ac:dyDescent="0.25">
      <c r="A137" s="34"/>
      <c r="B137" s="34"/>
      <c r="C137" s="34"/>
      <c r="D137" s="34"/>
      <c r="E137" s="34"/>
      <c r="F137" s="34"/>
      <c r="G137" s="34"/>
      <c r="H137" s="34"/>
      <c r="I137" s="36"/>
      <c r="J137" s="36"/>
      <c r="K137" s="36"/>
      <c r="L137" s="36"/>
      <c r="M137" s="36"/>
    </row>
    <row r="138" spans="1:13" x14ac:dyDescent="0.25">
      <c r="A138" s="34"/>
      <c r="B138" s="34"/>
      <c r="C138" s="34"/>
      <c r="D138" s="34"/>
      <c r="E138" s="34"/>
      <c r="F138" s="34"/>
      <c r="G138" s="34"/>
      <c r="H138" s="34"/>
      <c r="I138" s="36"/>
      <c r="J138" s="36"/>
      <c r="K138" s="36"/>
      <c r="L138" s="36"/>
      <c r="M138" s="36"/>
    </row>
    <row r="139" spans="1:13" x14ac:dyDescent="0.25">
      <c r="A139" s="34"/>
      <c r="B139" s="34"/>
      <c r="C139" s="34"/>
      <c r="D139" s="34"/>
      <c r="E139" s="34"/>
      <c r="F139" s="34"/>
      <c r="G139" s="34"/>
      <c r="H139" s="34"/>
      <c r="I139" s="36"/>
      <c r="J139" s="36"/>
      <c r="K139" s="36"/>
      <c r="L139" s="36"/>
      <c r="M139" s="36"/>
    </row>
    <row r="140" spans="1:13" x14ac:dyDescent="0.25">
      <c r="A140" s="34"/>
      <c r="B140" s="34"/>
      <c r="C140" s="34"/>
      <c r="D140" s="34"/>
      <c r="E140" s="34"/>
      <c r="F140" s="34"/>
      <c r="G140" s="34"/>
      <c r="H140" s="34"/>
      <c r="I140" s="36"/>
      <c r="J140" s="36"/>
      <c r="K140" s="36"/>
      <c r="L140" s="36"/>
      <c r="M140" s="36"/>
    </row>
    <row r="141" spans="1:13" x14ac:dyDescent="0.25">
      <c r="A141" s="34"/>
      <c r="B141" s="34"/>
      <c r="C141" s="34"/>
      <c r="D141" s="34"/>
      <c r="E141" s="34"/>
      <c r="F141" s="34"/>
      <c r="G141" s="34"/>
      <c r="H141" s="34"/>
      <c r="I141" s="36"/>
      <c r="J141" s="36"/>
      <c r="K141" s="36"/>
      <c r="L141" s="36"/>
      <c r="M141" s="36"/>
    </row>
    <row r="142" spans="1:13" x14ac:dyDescent="0.25">
      <c r="A142" s="34"/>
      <c r="B142" s="34"/>
      <c r="C142" s="34"/>
      <c r="D142" s="34"/>
      <c r="E142" s="34"/>
      <c r="F142" s="34"/>
      <c r="G142" s="34"/>
      <c r="H142" s="34"/>
      <c r="I142" s="36"/>
      <c r="J142" s="36"/>
      <c r="K142" s="36"/>
      <c r="L142" s="36"/>
      <c r="M142" s="36"/>
    </row>
    <row r="143" spans="1:13" x14ac:dyDescent="0.25">
      <c r="A143" s="34"/>
      <c r="B143" s="34"/>
      <c r="C143" s="34"/>
      <c r="D143" s="34"/>
      <c r="E143" s="34"/>
      <c r="F143" s="34"/>
      <c r="G143" s="34"/>
      <c r="H143" s="34"/>
      <c r="I143" s="36"/>
      <c r="J143" s="36"/>
      <c r="K143" s="36"/>
      <c r="L143" s="36"/>
      <c r="M143" s="36"/>
    </row>
    <row r="144" spans="1:13" x14ac:dyDescent="0.25">
      <c r="A144" s="34"/>
      <c r="B144" s="34"/>
      <c r="C144" s="34"/>
      <c r="D144" s="34"/>
      <c r="E144" s="34"/>
      <c r="F144" s="34"/>
      <c r="G144" s="34"/>
      <c r="H144" s="34"/>
      <c r="I144" s="36"/>
      <c r="J144" s="36"/>
      <c r="K144" s="36"/>
      <c r="L144" s="36"/>
      <c r="M144" s="36"/>
    </row>
    <row r="145" spans="1:13" x14ac:dyDescent="0.25">
      <c r="A145" s="34"/>
      <c r="B145" s="34"/>
      <c r="C145" s="34"/>
      <c r="D145" s="34"/>
      <c r="E145" s="34"/>
      <c r="F145" s="34"/>
      <c r="G145" s="34"/>
      <c r="H145" s="34"/>
      <c r="I145" s="36"/>
      <c r="J145" s="36"/>
      <c r="K145" s="36"/>
      <c r="L145" s="36"/>
      <c r="M145" s="36"/>
    </row>
    <row r="146" spans="1:13" x14ac:dyDescent="0.25">
      <c r="A146" s="34"/>
      <c r="B146" s="34"/>
      <c r="C146" s="34"/>
      <c r="D146" s="34"/>
      <c r="E146" s="34"/>
      <c r="F146" s="34"/>
      <c r="G146" s="34"/>
      <c r="H146" s="34"/>
      <c r="I146" s="36"/>
      <c r="J146" s="36"/>
      <c r="K146" s="36"/>
      <c r="L146" s="36"/>
      <c r="M146" s="36"/>
    </row>
    <row r="147" spans="1:13" x14ac:dyDescent="0.25">
      <c r="A147" s="34"/>
      <c r="B147" s="34"/>
      <c r="C147" s="34"/>
      <c r="D147" s="34"/>
      <c r="E147" s="34"/>
      <c r="F147" s="34"/>
      <c r="G147" s="34"/>
      <c r="H147" s="34"/>
      <c r="I147" s="36"/>
      <c r="J147" s="36"/>
      <c r="K147" s="36"/>
      <c r="L147" s="36"/>
      <c r="M147" s="36"/>
    </row>
    <row r="148" spans="1:13" x14ac:dyDescent="0.25">
      <c r="A148" s="34"/>
      <c r="B148" s="34"/>
      <c r="C148" s="34"/>
      <c r="D148" s="34"/>
      <c r="E148" s="34"/>
      <c r="F148" s="34"/>
      <c r="G148" s="34"/>
      <c r="H148" s="34"/>
      <c r="I148" s="36"/>
      <c r="J148" s="36"/>
      <c r="K148" s="36"/>
      <c r="L148" s="36"/>
      <c r="M148" s="36"/>
    </row>
    <row r="149" spans="1:13" x14ac:dyDescent="0.25">
      <c r="A149" s="34"/>
      <c r="B149" s="34"/>
      <c r="C149" s="34"/>
      <c r="D149" s="34"/>
      <c r="E149" s="34"/>
      <c r="F149" s="34"/>
      <c r="G149" s="34"/>
      <c r="H149" s="34"/>
      <c r="I149" s="36"/>
      <c r="J149" s="36"/>
      <c r="K149" s="36"/>
      <c r="L149" s="36"/>
      <c r="M149" s="36"/>
    </row>
    <row r="150" spans="1:13" x14ac:dyDescent="0.25">
      <c r="A150" s="34"/>
      <c r="B150" s="34"/>
      <c r="C150" s="34"/>
      <c r="D150" s="34"/>
      <c r="E150" s="34"/>
      <c r="F150" s="34"/>
      <c r="G150" s="34"/>
      <c r="H150" s="34"/>
      <c r="I150" s="36"/>
      <c r="J150" s="36"/>
      <c r="K150" s="36"/>
      <c r="L150" s="36"/>
      <c r="M150" s="36"/>
    </row>
    <row r="151" spans="1:13" x14ac:dyDescent="0.25">
      <c r="A151" s="34"/>
      <c r="B151" s="34"/>
      <c r="C151" s="34"/>
      <c r="D151" s="34"/>
      <c r="E151" s="34"/>
      <c r="F151" s="34"/>
      <c r="G151" s="34"/>
      <c r="H151" s="34"/>
      <c r="I151" s="36"/>
      <c r="J151" s="36"/>
      <c r="K151" s="36"/>
      <c r="L151" s="36"/>
      <c r="M151" s="36"/>
    </row>
    <row r="152" spans="1:13" x14ac:dyDescent="0.25">
      <c r="A152" s="34"/>
      <c r="B152" s="34"/>
      <c r="C152" s="34"/>
      <c r="D152" s="34"/>
      <c r="E152" s="34"/>
      <c r="F152" s="34"/>
      <c r="G152" s="34"/>
      <c r="H152" s="34"/>
      <c r="I152" s="36"/>
      <c r="J152" s="36"/>
      <c r="K152" s="36"/>
      <c r="L152" s="36"/>
      <c r="M152" s="36"/>
    </row>
    <row r="153" spans="1:13" x14ac:dyDescent="0.25">
      <c r="A153" s="34"/>
      <c r="B153" s="34"/>
      <c r="C153" s="34"/>
      <c r="D153" s="34"/>
      <c r="E153" s="34"/>
      <c r="F153" s="34"/>
      <c r="G153" s="34"/>
      <c r="H153" s="34"/>
      <c r="I153" s="36"/>
      <c r="J153" s="36"/>
      <c r="K153" s="36"/>
      <c r="L153" s="36"/>
      <c r="M153" s="36"/>
    </row>
    <row r="154" spans="1:13" x14ac:dyDescent="0.25">
      <c r="A154" s="34"/>
      <c r="B154" s="34"/>
      <c r="C154" s="34"/>
      <c r="D154" s="34"/>
      <c r="E154" s="34"/>
      <c r="F154" s="34"/>
      <c r="G154" s="34"/>
      <c r="H154" s="34"/>
      <c r="I154" s="36"/>
      <c r="J154" s="36"/>
      <c r="K154" s="36"/>
      <c r="L154" s="36"/>
      <c r="M154" s="36"/>
    </row>
    <row r="155" spans="1:13" x14ac:dyDescent="0.25">
      <c r="A155" s="34"/>
      <c r="B155" s="34"/>
      <c r="C155" s="34"/>
      <c r="D155" s="34"/>
      <c r="E155" s="34"/>
      <c r="F155" s="34"/>
      <c r="G155" s="34"/>
      <c r="H155" s="34"/>
      <c r="I155" s="36"/>
      <c r="J155" s="36"/>
      <c r="K155" s="36"/>
      <c r="L155" s="36"/>
      <c r="M155" s="36"/>
    </row>
    <row r="156" spans="1:13" x14ac:dyDescent="0.25">
      <c r="A156" s="34"/>
      <c r="B156" s="34"/>
      <c r="C156" s="34"/>
      <c r="D156" s="34"/>
      <c r="E156" s="34"/>
      <c r="F156" s="34"/>
      <c r="G156" s="34"/>
      <c r="H156" s="34"/>
      <c r="I156" s="36"/>
      <c r="J156" s="36"/>
      <c r="K156" s="36"/>
      <c r="L156" s="36"/>
      <c r="M156" s="36"/>
    </row>
    <row r="157" spans="1:13" x14ac:dyDescent="0.25">
      <c r="A157" s="34"/>
      <c r="B157" s="34"/>
      <c r="C157" s="34"/>
      <c r="D157" s="34"/>
      <c r="E157" s="34"/>
      <c r="F157" s="34"/>
      <c r="G157" s="34"/>
      <c r="H157" s="34"/>
      <c r="I157" s="36"/>
      <c r="J157" s="36"/>
      <c r="K157" s="36"/>
      <c r="L157" s="36"/>
      <c r="M157" s="36"/>
    </row>
    <row r="158" spans="1:13" x14ac:dyDescent="0.25">
      <c r="A158" s="34"/>
      <c r="B158" s="34"/>
      <c r="C158" s="34"/>
      <c r="D158" s="34"/>
      <c r="E158" s="34"/>
      <c r="F158" s="34"/>
      <c r="G158" s="34"/>
      <c r="H158" s="34"/>
      <c r="I158" s="36"/>
      <c r="J158" s="36"/>
      <c r="K158" s="36"/>
      <c r="L158" s="36"/>
      <c r="M158" s="36"/>
    </row>
    <row r="159" spans="1:13" x14ac:dyDescent="0.25">
      <c r="A159" s="34"/>
      <c r="B159" s="34"/>
      <c r="C159" s="34"/>
      <c r="D159" s="34"/>
      <c r="E159" s="34"/>
      <c r="F159" s="34"/>
      <c r="G159" s="34"/>
      <c r="H159" s="34"/>
      <c r="I159" s="36"/>
      <c r="J159" s="36"/>
      <c r="K159" s="36"/>
      <c r="L159" s="36"/>
      <c r="M159" s="36"/>
    </row>
    <row r="160" spans="1:13" x14ac:dyDescent="0.25">
      <c r="A160" s="34"/>
      <c r="B160" s="34"/>
      <c r="C160" s="34"/>
      <c r="D160" s="34"/>
      <c r="E160" s="34"/>
      <c r="F160" s="34"/>
      <c r="G160" s="34"/>
      <c r="H160" s="34"/>
      <c r="I160" s="36"/>
      <c r="J160" s="36"/>
      <c r="K160" s="36"/>
      <c r="L160" s="36"/>
      <c r="M160" s="36"/>
    </row>
    <row r="161" spans="1:13" x14ac:dyDescent="0.25">
      <c r="A161" s="34"/>
      <c r="B161" s="34"/>
      <c r="C161" s="34"/>
      <c r="D161" s="34"/>
      <c r="E161" s="34"/>
      <c r="F161" s="34"/>
      <c r="G161" s="34"/>
      <c r="H161" s="34"/>
      <c r="I161" s="36"/>
      <c r="J161" s="36"/>
      <c r="K161" s="36"/>
      <c r="L161" s="36"/>
      <c r="M161" s="36"/>
    </row>
    <row r="162" spans="1:13" x14ac:dyDescent="0.25">
      <c r="A162" s="34"/>
      <c r="B162" s="34"/>
      <c r="C162" s="34"/>
      <c r="D162" s="34"/>
      <c r="E162" s="34"/>
      <c r="F162" s="34"/>
      <c r="G162" s="34"/>
      <c r="H162" s="34"/>
      <c r="I162" s="36"/>
      <c r="J162" s="36"/>
      <c r="K162" s="36"/>
      <c r="L162" s="36"/>
      <c r="M162" s="36"/>
    </row>
    <row r="163" spans="1:13" x14ac:dyDescent="0.25">
      <c r="A163" s="34"/>
      <c r="B163" s="34"/>
      <c r="C163" s="34"/>
      <c r="D163" s="34"/>
      <c r="E163" s="34"/>
      <c r="F163" s="34"/>
      <c r="G163" s="34"/>
      <c r="H163" s="34"/>
      <c r="I163" s="36"/>
      <c r="J163" s="36"/>
      <c r="K163" s="36"/>
      <c r="L163" s="36"/>
      <c r="M163" s="36"/>
    </row>
    <row r="164" spans="1:13" x14ac:dyDescent="0.25">
      <c r="A164" s="34"/>
      <c r="B164" s="34"/>
      <c r="C164" s="34"/>
      <c r="D164" s="34"/>
      <c r="E164" s="34"/>
      <c r="F164" s="34"/>
      <c r="G164" s="34"/>
      <c r="H164" s="34"/>
      <c r="I164" s="36"/>
      <c r="J164" s="36"/>
      <c r="K164" s="36"/>
      <c r="L164" s="36"/>
      <c r="M164" s="36"/>
    </row>
    <row r="165" spans="1:13" x14ac:dyDescent="0.25">
      <c r="A165" s="34"/>
      <c r="B165" s="34"/>
      <c r="C165" s="34"/>
      <c r="D165" s="34"/>
      <c r="E165" s="34"/>
      <c r="F165" s="34"/>
      <c r="G165" s="34"/>
      <c r="H165" s="34"/>
      <c r="I165" s="36"/>
      <c r="J165" s="36"/>
      <c r="K165" s="36"/>
      <c r="L165" s="36"/>
      <c r="M165" s="36"/>
    </row>
    <row r="166" spans="1:13" x14ac:dyDescent="0.25">
      <c r="A166" s="34"/>
      <c r="B166" s="34"/>
      <c r="C166" s="34"/>
      <c r="D166" s="34"/>
      <c r="E166" s="34"/>
      <c r="F166" s="34"/>
      <c r="G166" s="34"/>
      <c r="H166" s="34"/>
      <c r="I166" s="36"/>
      <c r="J166" s="36"/>
      <c r="K166" s="36"/>
      <c r="L166" s="36"/>
      <c r="M166" s="36"/>
    </row>
    <row r="167" spans="1:13" x14ac:dyDescent="0.25">
      <c r="A167" s="34"/>
      <c r="B167" s="34"/>
      <c r="C167" s="34"/>
      <c r="D167" s="34"/>
      <c r="E167" s="34"/>
      <c r="F167" s="34"/>
      <c r="G167" s="34"/>
      <c r="H167" s="34"/>
      <c r="I167" s="36"/>
      <c r="J167" s="36"/>
      <c r="K167" s="36"/>
      <c r="L167" s="36"/>
      <c r="M167" s="36"/>
    </row>
    <row r="168" spans="1:13" x14ac:dyDescent="0.25">
      <c r="A168" s="34"/>
      <c r="B168" s="34"/>
      <c r="C168" s="34"/>
      <c r="D168" s="34"/>
      <c r="E168" s="34"/>
      <c r="F168" s="34"/>
      <c r="G168" s="34"/>
      <c r="H168" s="34"/>
      <c r="I168" s="36"/>
      <c r="J168" s="36"/>
      <c r="K168" s="36"/>
      <c r="L168" s="36"/>
      <c r="M168" s="36"/>
    </row>
    <row r="169" spans="1:13" x14ac:dyDescent="0.25">
      <c r="A169" s="34"/>
      <c r="B169" s="34"/>
      <c r="C169" s="34"/>
      <c r="D169" s="34"/>
      <c r="E169" s="34"/>
      <c r="F169" s="34"/>
      <c r="G169" s="34"/>
      <c r="H169" s="34"/>
      <c r="I169" s="36"/>
      <c r="J169" s="36"/>
      <c r="K169" s="36"/>
      <c r="L169" s="36"/>
      <c r="M169" s="36"/>
    </row>
    <row r="170" spans="1:13" x14ac:dyDescent="0.25">
      <c r="A170" s="34"/>
      <c r="B170" s="34"/>
      <c r="C170" s="34"/>
      <c r="D170" s="34"/>
      <c r="E170" s="34"/>
      <c r="F170" s="34"/>
      <c r="G170" s="34"/>
      <c r="H170" s="34"/>
      <c r="I170" s="36"/>
      <c r="J170" s="36"/>
      <c r="K170" s="36"/>
      <c r="L170" s="36"/>
      <c r="M170" s="36"/>
    </row>
    <row r="171" spans="1:13" x14ac:dyDescent="0.25">
      <c r="A171" s="34"/>
      <c r="B171" s="34"/>
      <c r="C171" s="34"/>
      <c r="D171" s="34"/>
      <c r="E171" s="34"/>
      <c r="F171" s="34"/>
      <c r="G171" s="34"/>
      <c r="H171" s="34"/>
      <c r="I171" s="36"/>
      <c r="J171" s="36"/>
      <c r="K171" s="36"/>
      <c r="L171" s="36"/>
      <c r="M171" s="36"/>
    </row>
    <row r="172" spans="1:13" x14ac:dyDescent="0.25">
      <c r="A172" s="34"/>
      <c r="B172" s="34"/>
      <c r="C172" s="34"/>
      <c r="D172" s="34"/>
      <c r="E172" s="34"/>
      <c r="F172" s="34"/>
      <c r="G172" s="34"/>
      <c r="H172" s="34"/>
      <c r="I172" s="36"/>
      <c r="J172" s="36"/>
      <c r="K172" s="36"/>
      <c r="L172" s="36"/>
      <c r="M172" s="36"/>
    </row>
    <row r="173" spans="1:13" x14ac:dyDescent="0.25">
      <c r="A173" s="34"/>
      <c r="B173" s="34"/>
      <c r="C173" s="34"/>
      <c r="D173" s="34"/>
      <c r="E173" s="34"/>
      <c r="F173" s="34"/>
      <c r="G173" s="34"/>
      <c r="H173" s="34"/>
      <c r="I173" s="36"/>
      <c r="J173" s="36"/>
      <c r="K173" s="36"/>
      <c r="L173" s="36"/>
      <c r="M173" s="36"/>
    </row>
    <row r="174" spans="1:13" x14ac:dyDescent="0.25">
      <c r="A174" s="34"/>
      <c r="B174" s="34"/>
      <c r="C174" s="34"/>
      <c r="D174" s="34"/>
      <c r="E174" s="34"/>
      <c r="F174" s="34"/>
      <c r="G174" s="34"/>
      <c r="H174" s="34"/>
      <c r="I174" s="36"/>
      <c r="J174" s="36"/>
      <c r="K174" s="36"/>
      <c r="L174" s="36"/>
      <c r="M174" s="36"/>
    </row>
    <row r="175" spans="1:13" x14ac:dyDescent="0.25">
      <c r="A175" s="34"/>
      <c r="B175" s="34"/>
      <c r="C175" s="34"/>
      <c r="D175" s="34"/>
      <c r="E175" s="34"/>
      <c r="F175" s="34"/>
      <c r="G175" s="34"/>
      <c r="H175" s="34"/>
      <c r="I175" s="36"/>
      <c r="J175" s="36"/>
      <c r="K175" s="36"/>
      <c r="L175" s="36"/>
      <c r="M175" s="36"/>
    </row>
    <row r="176" spans="1:13" x14ac:dyDescent="0.25">
      <c r="A176" s="34"/>
      <c r="B176" s="34"/>
      <c r="C176" s="34"/>
      <c r="D176" s="34"/>
      <c r="E176" s="34"/>
      <c r="F176" s="34"/>
      <c r="G176" s="34"/>
      <c r="H176" s="34"/>
      <c r="I176" s="36"/>
      <c r="J176" s="36"/>
      <c r="K176" s="36"/>
      <c r="L176" s="36"/>
      <c r="M176" s="36"/>
    </row>
    <row r="177" spans="1:13" x14ac:dyDescent="0.25">
      <c r="A177" s="34"/>
      <c r="B177" s="34"/>
      <c r="C177" s="34"/>
      <c r="D177" s="34"/>
      <c r="E177" s="34"/>
      <c r="F177" s="34"/>
      <c r="G177" s="34"/>
      <c r="H177" s="34"/>
      <c r="I177" s="36"/>
      <c r="J177" s="36"/>
      <c r="K177" s="36"/>
      <c r="L177" s="36"/>
      <c r="M177" s="36"/>
    </row>
    <row r="178" spans="1:13" x14ac:dyDescent="0.25">
      <c r="A178" s="34"/>
      <c r="B178" s="34"/>
      <c r="C178" s="34"/>
      <c r="D178" s="34"/>
      <c r="E178" s="34"/>
      <c r="F178" s="34"/>
      <c r="G178" s="34"/>
      <c r="H178" s="34"/>
      <c r="I178" s="36"/>
      <c r="J178" s="36"/>
      <c r="K178" s="36"/>
      <c r="L178" s="36"/>
      <c r="M178" s="36"/>
    </row>
    <row r="179" spans="1:13" x14ac:dyDescent="0.25">
      <c r="A179" s="34"/>
      <c r="B179" s="34"/>
      <c r="C179" s="34"/>
      <c r="D179" s="34"/>
      <c r="E179" s="34"/>
      <c r="F179" s="34"/>
      <c r="G179" s="34"/>
      <c r="H179" s="34"/>
      <c r="I179" s="36"/>
      <c r="J179" s="36"/>
      <c r="K179" s="36"/>
      <c r="L179" s="36"/>
      <c r="M179" s="36"/>
    </row>
    <row r="180" spans="1:13" x14ac:dyDescent="0.25">
      <c r="A180" s="34"/>
      <c r="B180" s="34"/>
      <c r="C180" s="34"/>
      <c r="D180" s="34"/>
      <c r="E180" s="34"/>
      <c r="F180" s="34"/>
      <c r="G180" s="34"/>
      <c r="H180" s="34"/>
      <c r="I180" s="36"/>
      <c r="J180" s="36"/>
      <c r="K180" s="36"/>
      <c r="L180" s="36"/>
      <c r="M180" s="36"/>
    </row>
    <row r="181" spans="1:13" x14ac:dyDescent="0.25">
      <c r="A181" s="34"/>
      <c r="B181" s="34"/>
      <c r="C181" s="34"/>
      <c r="D181" s="34"/>
      <c r="E181" s="34"/>
      <c r="F181" s="34"/>
      <c r="G181" s="34"/>
      <c r="H181" s="34"/>
      <c r="I181" s="36"/>
      <c r="J181" s="36"/>
      <c r="K181" s="36"/>
      <c r="L181" s="36"/>
      <c r="M181" s="36"/>
    </row>
    <row r="182" spans="1:13" x14ac:dyDescent="0.25">
      <c r="A182" s="34"/>
      <c r="B182" s="34"/>
      <c r="C182" s="34"/>
      <c r="D182" s="34"/>
      <c r="E182" s="34"/>
      <c r="F182" s="34"/>
      <c r="G182" s="34"/>
      <c r="H182" s="34"/>
      <c r="I182" s="36"/>
      <c r="J182" s="36"/>
      <c r="K182" s="36"/>
      <c r="L182" s="36"/>
      <c r="M182" s="36"/>
    </row>
    <row r="183" spans="1:13" x14ac:dyDescent="0.25">
      <c r="A183" s="34"/>
      <c r="B183" s="34"/>
      <c r="C183" s="34"/>
      <c r="D183" s="34"/>
      <c r="E183" s="34"/>
      <c r="F183" s="34"/>
      <c r="G183" s="34"/>
      <c r="H183" s="34"/>
      <c r="I183" s="36"/>
      <c r="J183" s="36"/>
      <c r="K183" s="36"/>
      <c r="L183" s="36"/>
      <c r="M183" s="36"/>
    </row>
    <row r="184" spans="1:13" x14ac:dyDescent="0.25">
      <c r="A184" s="34"/>
      <c r="B184" s="34"/>
      <c r="C184" s="34"/>
      <c r="D184" s="34"/>
      <c r="E184" s="34"/>
      <c r="F184" s="34"/>
      <c r="G184" s="34"/>
      <c r="H184" s="34"/>
      <c r="I184" s="36"/>
      <c r="J184" s="36"/>
      <c r="K184" s="36"/>
      <c r="L184" s="36"/>
      <c r="M184" s="36"/>
    </row>
    <row r="185" spans="1:13" x14ac:dyDescent="0.25">
      <c r="A185" s="34"/>
      <c r="B185" s="34"/>
      <c r="C185" s="34"/>
      <c r="D185" s="34"/>
      <c r="E185" s="34"/>
      <c r="F185" s="34"/>
      <c r="G185" s="34"/>
      <c r="H185" s="34"/>
      <c r="I185" s="36"/>
      <c r="J185" s="36"/>
      <c r="K185" s="36"/>
      <c r="L185" s="36"/>
      <c r="M185" s="36"/>
    </row>
    <row r="186" spans="1:13" x14ac:dyDescent="0.25">
      <c r="A186" s="34"/>
      <c r="B186" s="34"/>
      <c r="C186" s="34"/>
      <c r="D186" s="34"/>
      <c r="E186" s="34"/>
      <c r="F186" s="34"/>
      <c r="G186" s="34"/>
      <c r="H186" s="34"/>
      <c r="I186" s="36"/>
      <c r="J186" s="36"/>
      <c r="K186" s="36"/>
      <c r="L186" s="36"/>
      <c r="M186" s="36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6"/>
      <c r="J187" s="36"/>
      <c r="K187" s="36"/>
      <c r="L187" s="36"/>
      <c r="M187" s="36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6"/>
      <c r="J188" s="36"/>
      <c r="K188" s="36"/>
      <c r="L188" s="36"/>
      <c r="M188" s="36"/>
    </row>
    <row r="189" spans="1:13" x14ac:dyDescent="0.25">
      <c r="A189" s="34"/>
      <c r="B189" s="34"/>
      <c r="C189" s="34"/>
      <c r="D189" s="34"/>
      <c r="E189" s="34"/>
      <c r="F189" s="34"/>
      <c r="G189" s="34"/>
      <c r="H189" s="34"/>
      <c r="I189" s="36"/>
      <c r="J189" s="36"/>
      <c r="K189" s="36"/>
      <c r="L189" s="36"/>
      <c r="M189" s="36"/>
    </row>
    <row r="190" spans="1:13" x14ac:dyDescent="0.25">
      <c r="A190" s="34"/>
      <c r="B190" s="34"/>
      <c r="C190" s="34"/>
      <c r="D190" s="34"/>
      <c r="E190" s="34"/>
      <c r="F190" s="34"/>
      <c r="G190" s="34"/>
      <c r="H190" s="34"/>
      <c r="I190" s="36"/>
      <c r="J190" s="36"/>
      <c r="K190" s="36"/>
      <c r="L190" s="36"/>
      <c r="M190" s="36"/>
    </row>
    <row r="191" spans="1:13" x14ac:dyDescent="0.25">
      <c r="A191" s="34"/>
      <c r="B191" s="34"/>
      <c r="C191" s="34"/>
      <c r="D191" s="34"/>
      <c r="E191" s="34"/>
      <c r="F191" s="34"/>
      <c r="G191" s="34"/>
      <c r="H191" s="34"/>
      <c r="I191" s="36"/>
      <c r="J191" s="36"/>
      <c r="K191" s="36"/>
      <c r="L191" s="36"/>
      <c r="M191" s="36"/>
    </row>
    <row r="192" spans="1:13" x14ac:dyDescent="0.25">
      <c r="A192" s="34"/>
      <c r="B192" s="34"/>
      <c r="C192" s="34"/>
      <c r="D192" s="34"/>
      <c r="E192" s="34"/>
      <c r="F192" s="34"/>
      <c r="G192" s="34"/>
      <c r="H192" s="34"/>
      <c r="I192" s="36"/>
      <c r="J192" s="36"/>
      <c r="K192" s="36"/>
      <c r="L192" s="36"/>
      <c r="M192" s="36"/>
    </row>
    <row r="193" spans="1:13" x14ac:dyDescent="0.25">
      <c r="A193" s="34"/>
      <c r="B193" s="34"/>
      <c r="C193" s="34"/>
      <c r="D193" s="34"/>
      <c r="E193" s="34"/>
      <c r="F193" s="34"/>
      <c r="G193" s="34"/>
      <c r="H193" s="34"/>
      <c r="I193" s="36"/>
      <c r="J193" s="36"/>
      <c r="K193" s="36"/>
      <c r="L193" s="36"/>
      <c r="M193" s="36"/>
    </row>
    <row r="194" spans="1:13" x14ac:dyDescent="0.25">
      <c r="A194" s="34"/>
      <c r="B194" s="34"/>
      <c r="C194" s="34"/>
      <c r="D194" s="34"/>
      <c r="E194" s="34"/>
      <c r="F194" s="34"/>
      <c r="G194" s="34"/>
      <c r="H194" s="34"/>
      <c r="I194" s="36"/>
      <c r="J194" s="36"/>
      <c r="K194" s="36"/>
      <c r="L194" s="36"/>
      <c r="M194" s="36"/>
    </row>
    <row r="195" spans="1:13" x14ac:dyDescent="0.25">
      <c r="A195" s="34"/>
      <c r="B195" s="34"/>
      <c r="C195" s="34"/>
      <c r="D195" s="34"/>
      <c r="E195" s="34"/>
      <c r="F195" s="34"/>
      <c r="G195" s="34"/>
      <c r="H195" s="34"/>
      <c r="I195" s="36"/>
      <c r="J195" s="36"/>
      <c r="K195" s="36"/>
      <c r="L195" s="36"/>
      <c r="M195" s="36"/>
    </row>
    <row r="196" spans="1:13" x14ac:dyDescent="0.25">
      <c r="A196" s="34"/>
      <c r="B196" s="34"/>
      <c r="C196" s="34"/>
      <c r="D196" s="34"/>
      <c r="E196" s="34"/>
      <c r="F196" s="34"/>
      <c r="G196" s="34"/>
      <c r="H196" s="34"/>
      <c r="I196" s="36"/>
      <c r="J196" s="36"/>
      <c r="K196" s="36"/>
      <c r="L196" s="36"/>
      <c r="M196" s="36"/>
    </row>
    <row r="197" spans="1:13" x14ac:dyDescent="0.25">
      <c r="A197" s="34"/>
      <c r="B197" s="34"/>
      <c r="C197" s="34"/>
      <c r="D197" s="34"/>
      <c r="E197" s="34"/>
      <c r="F197" s="34"/>
      <c r="G197" s="34"/>
      <c r="H197" s="34"/>
      <c r="I197" s="36"/>
      <c r="J197" s="36"/>
      <c r="K197" s="36"/>
      <c r="L197" s="36"/>
      <c r="M197" s="36"/>
    </row>
    <row r="198" spans="1:13" x14ac:dyDescent="0.25">
      <c r="A198" s="34"/>
      <c r="B198" s="34"/>
      <c r="C198" s="34"/>
      <c r="D198" s="34"/>
      <c r="E198" s="34"/>
      <c r="F198" s="34"/>
      <c r="G198" s="34"/>
      <c r="H198" s="34"/>
      <c r="I198" s="36"/>
      <c r="J198" s="36"/>
      <c r="K198" s="36"/>
      <c r="L198" s="36"/>
      <c r="M198" s="36"/>
    </row>
    <row r="199" spans="1:13" x14ac:dyDescent="0.25">
      <c r="A199" s="34"/>
      <c r="B199" s="34"/>
      <c r="C199" s="34"/>
      <c r="D199" s="34"/>
      <c r="E199" s="34"/>
      <c r="F199" s="34"/>
      <c r="G199" s="34"/>
      <c r="H199" s="34"/>
      <c r="I199" s="36"/>
      <c r="J199" s="36"/>
      <c r="K199" s="36"/>
      <c r="L199" s="36"/>
      <c r="M199" s="36"/>
    </row>
    <row r="200" spans="1:13" x14ac:dyDescent="0.25">
      <c r="A200" s="34"/>
      <c r="B200" s="34"/>
      <c r="C200" s="34"/>
      <c r="D200" s="34"/>
      <c r="E200" s="34"/>
      <c r="F200" s="34"/>
      <c r="G200" s="34"/>
      <c r="H200" s="34"/>
      <c r="I200" s="36"/>
      <c r="J200" s="36"/>
      <c r="K200" s="36"/>
      <c r="L200" s="36"/>
      <c r="M200" s="36"/>
    </row>
    <row r="201" spans="1:13" x14ac:dyDescent="0.25">
      <c r="A201" s="34"/>
      <c r="B201" s="34"/>
      <c r="C201" s="34"/>
      <c r="D201" s="34"/>
      <c r="E201" s="34"/>
      <c r="F201" s="34"/>
      <c r="G201" s="34"/>
      <c r="H201" s="34"/>
      <c r="I201" s="36"/>
      <c r="J201" s="36"/>
      <c r="K201" s="36"/>
      <c r="L201" s="36"/>
      <c r="M201" s="36"/>
    </row>
    <row r="202" spans="1:13" x14ac:dyDescent="0.25">
      <c r="A202" s="34"/>
      <c r="B202" s="34"/>
      <c r="C202" s="34"/>
      <c r="D202" s="34"/>
      <c r="E202" s="34"/>
      <c r="F202" s="34"/>
      <c r="G202" s="34"/>
      <c r="H202" s="34"/>
      <c r="I202" s="36"/>
      <c r="J202" s="36"/>
      <c r="K202" s="36"/>
      <c r="L202" s="36"/>
      <c r="M202" s="36"/>
    </row>
    <row r="203" spans="1:13" x14ac:dyDescent="0.25">
      <c r="A203" s="34"/>
      <c r="B203" s="34"/>
      <c r="C203" s="34"/>
      <c r="D203" s="34"/>
      <c r="E203" s="34"/>
      <c r="F203" s="34"/>
      <c r="G203" s="34"/>
      <c r="H203" s="34"/>
      <c r="I203" s="36"/>
      <c r="J203" s="36"/>
      <c r="K203" s="36"/>
      <c r="L203" s="36"/>
      <c r="M203" s="36"/>
    </row>
    <row r="204" spans="1:13" x14ac:dyDescent="0.25">
      <c r="A204" s="34"/>
      <c r="B204" s="34"/>
      <c r="C204" s="34"/>
      <c r="D204" s="34"/>
      <c r="E204" s="34"/>
      <c r="F204" s="34"/>
      <c r="G204" s="34"/>
      <c r="H204" s="34"/>
      <c r="I204" s="36"/>
      <c r="J204" s="36"/>
      <c r="K204" s="36"/>
      <c r="L204" s="36"/>
      <c r="M204" s="36"/>
    </row>
    <row r="205" spans="1:13" x14ac:dyDescent="0.25">
      <c r="A205" s="34"/>
      <c r="B205" s="34"/>
      <c r="C205" s="34"/>
      <c r="D205" s="34"/>
      <c r="E205" s="34"/>
      <c r="F205" s="34"/>
      <c r="G205" s="34"/>
      <c r="H205" s="34"/>
      <c r="I205" s="36"/>
      <c r="J205" s="36"/>
      <c r="K205" s="36"/>
      <c r="L205" s="36"/>
      <c r="M205" s="36"/>
    </row>
    <row r="206" spans="1:13" x14ac:dyDescent="0.25">
      <c r="A206" s="34"/>
      <c r="B206" s="34"/>
      <c r="C206" s="34"/>
      <c r="D206" s="34"/>
      <c r="E206" s="34"/>
      <c r="F206" s="34"/>
      <c r="G206" s="34"/>
      <c r="H206" s="34"/>
      <c r="I206" s="36"/>
      <c r="J206" s="36"/>
      <c r="K206" s="36"/>
      <c r="L206" s="36"/>
      <c r="M206" s="36"/>
    </row>
    <row r="207" spans="1:13" x14ac:dyDescent="0.25">
      <c r="A207" s="34"/>
      <c r="B207" s="34"/>
      <c r="C207" s="34"/>
      <c r="D207" s="34"/>
      <c r="E207" s="34"/>
      <c r="F207" s="34"/>
      <c r="G207" s="34"/>
      <c r="H207" s="34"/>
      <c r="I207" s="36"/>
      <c r="J207" s="36"/>
      <c r="K207" s="36"/>
      <c r="L207" s="36"/>
      <c r="M207" s="36"/>
    </row>
    <row r="208" spans="1:13" x14ac:dyDescent="0.25">
      <c r="A208" s="34"/>
      <c r="B208" s="34"/>
      <c r="C208" s="34"/>
      <c r="D208" s="34"/>
      <c r="E208" s="34"/>
      <c r="F208" s="34"/>
      <c r="G208" s="34"/>
      <c r="H208" s="34"/>
      <c r="I208" s="36"/>
      <c r="J208" s="36"/>
      <c r="K208" s="36"/>
      <c r="L208" s="36"/>
      <c r="M208" s="36"/>
    </row>
    <row r="209" spans="1:13" x14ac:dyDescent="0.25">
      <c r="A209" s="34"/>
      <c r="B209" s="34"/>
      <c r="C209" s="34"/>
      <c r="D209" s="34"/>
      <c r="E209" s="34"/>
      <c r="F209" s="34"/>
      <c r="G209" s="34"/>
      <c r="H209" s="34"/>
      <c r="I209" s="36"/>
      <c r="J209" s="36"/>
      <c r="K209" s="36"/>
      <c r="L209" s="36"/>
      <c r="M209" s="36"/>
    </row>
    <row r="210" spans="1:13" x14ac:dyDescent="0.25">
      <c r="A210" s="34"/>
      <c r="B210" s="34"/>
      <c r="C210" s="34"/>
      <c r="D210" s="34"/>
      <c r="E210" s="34"/>
      <c r="F210" s="34"/>
      <c r="G210" s="34"/>
      <c r="H210" s="34"/>
      <c r="I210" s="36"/>
      <c r="J210" s="36"/>
      <c r="K210" s="36"/>
      <c r="L210" s="36"/>
      <c r="M210" s="36"/>
    </row>
    <row r="211" spans="1:13" x14ac:dyDescent="0.25">
      <c r="A211" s="34"/>
      <c r="B211" s="34"/>
      <c r="C211" s="34"/>
      <c r="D211" s="34"/>
      <c r="E211" s="34"/>
      <c r="F211" s="34"/>
      <c r="G211" s="34"/>
      <c r="H211" s="34"/>
      <c r="I211" s="36"/>
      <c r="J211" s="36"/>
      <c r="K211" s="36"/>
      <c r="L211" s="36"/>
      <c r="M211" s="36"/>
    </row>
    <row r="212" spans="1:13" x14ac:dyDescent="0.25">
      <c r="A212" s="34"/>
      <c r="B212" s="34"/>
      <c r="C212" s="34"/>
      <c r="D212" s="34"/>
      <c r="E212" s="34"/>
      <c r="F212" s="34"/>
      <c r="G212" s="34"/>
      <c r="H212" s="34"/>
      <c r="I212" s="36"/>
      <c r="J212" s="36"/>
      <c r="K212" s="36"/>
      <c r="L212" s="36"/>
      <c r="M212" s="36"/>
    </row>
    <row r="213" spans="1:13" x14ac:dyDescent="0.25">
      <c r="A213" s="34"/>
      <c r="B213" s="34"/>
      <c r="C213" s="34"/>
      <c r="D213" s="34"/>
      <c r="E213" s="34"/>
      <c r="F213" s="34"/>
      <c r="G213" s="34"/>
      <c r="H213" s="34"/>
      <c r="I213" s="36"/>
      <c r="J213" s="36"/>
      <c r="K213" s="36"/>
      <c r="L213" s="36"/>
      <c r="M213" s="36"/>
    </row>
    <row r="214" spans="1:13" x14ac:dyDescent="0.25">
      <c r="A214" s="34"/>
      <c r="B214" s="34"/>
      <c r="C214" s="34"/>
      <c r="D214" s="34"/>
      <c r="E214" s="34"/>
      <c r="F214" s="34"/>
      <c r="G214" s="34"/>
      <c r="H214" s="34"/>
      <c r="I214" s="36"/>
      <c r="J214" s="36"/>
      <c r="K214" s="36"/>
      <c r="L214" s="36"/>
      <c r="M214" s="36"/>
    </row>
    <row r="215" spans="1:13" x14ac:dyDescent="0.25">
      <c r="A215" s="34"/>
      <c r="B215" s="34"/>
      <c r="C215" s="34"/>
      <c r="D215" s="34"/>
      <c r="E215" s="34"/>
      <c r="F215" s="34"/>
      <c r="G215" s="34"/>
      <c r="H215" s="34"/>
      <c r="I215" s="36"/>
      <c r="J215" s="36"/>
      <c r="K215" s="36"/>
      <c r="L215" s="36"/>
      <c r="M215" s="36"/>
    </row>
    <row r="216" spans="1:13" x14ac:dyDescent="0.25">
      <c r="A216" s="34"/>
      <c r="B216" s="34"/>
      <c r="C216" s="34"/>
      <c r="D216" s="34"/>
      <c r="E216" s="34"/>
      <c r="F216" s="34"/>
      <c r="G216" s="34"/>
      <c r="H216" s="34"/>
      <c r="I216" s="36"/>
      <c r="J216" s="36"/>
      <c r="K216" s="36"/>
      <c r="L216" s="36"/>
      <c r="M216" s="36"/>
    </row>
    <row r="217" spans="1:13" x14ac:dyDescent="0.25">
      <c r="A217" s="34"/>
      <c r="B217" s="34"/>
      <c r="C217" s="34"/>
      <c r="D217" s="34"/>
      <c r="E217" s="34"/>
      <c r="F217" s="34"/>
      <c r="G217" s="34"/>
      <c r="H217" s="34"/>
      <c r="I217" s="36"/>
      <c r="J217" s="36"/>
      <c r="K217" s="36"/>
      <c r="L217" s="36"/>
      <c r="M217" s="36"/>
    </row>
    <row r="218" spans="1:13" x14ac:dyDescent="0.25">
      <c r="A218" s="34"/>
      <c r="B218" s="34"/>
      <c r="C218" s="34"/>
      <c r="D218" s="34"/>
      <c r="E218" s="34"/>
      <c r="F218" s="34"/>
      <c r="G218" s="34"/>
      <c r="H218" s="34"/>
      <c r="I218" s="36"/>
      <c r="J218" s="36"/>
      <c r="K218" s="36"/>
      <c r="L218" s="36"/>
      <c r="M218" s="36"/>
    </row>
    <row r="219" spans="1:13" x14ac:dyDescent="0.25">
      <c r="A219" s="34"/>
      <c r="B219" s="34"/>
      <c r="C219" s="34"/>
      <c r="D219" s="34"/>
      <c r="E219" s="34"/>
      <c r="F219" s="34"/>
      <c r="G219" s="34"/>
      <c r="H219" s="34"/>
      <c r="I219" s="36"/>
      <c r="J219" s="36"/>
      <c r="K219" s="36"/>
      <c r="L219" s="36"/>
      <c r="M219" s="36"/>
    </row>
    <row r="220" spans="1:13" x14ac:dyDescent="0.25">
      <c r="A220" s="34"/>
      <c r="B220" s="34"/>
      <c r="C220" s="34"/>
      <c r="D220" s="34"/>
      <c r="E220" s="34"/>
      <c r="F220" s="34"/>
      <c r="G220" s="34"/>
      <c r="H220" s="34"/>
      <c r="I220" s="36"/>
      <c r="J220" s="36"/>
      <c r="K220" s="36"/>
      <c r="L220" s="36"/>
      <c r="M220" s="36"/>
    </row>
    <row r="221" spans="1:13" x14ac:dyDescent="0.25">
      <c r="A221" s="34"/>
      <c r="B221" s="34"/>
      <c r="C221" s="34"/>
      <c r="D221" s="34"/>
      <c r="E221" s="34"/>
      <c r="F221" s="34"/>
      <c r="G221" s="34"/>
      <c r="H221" s="34"/>
      <c r="I221" s="36"/>
      <c r="J221" s="36"/>
      <c r="K221" s="36"/>
      <c r="L221" s="36"/>
      <c r="M221" s="36"/>
    </row>
    <row r="222" spans="1:13" x14ac:dyDescent="0.25">
      <c r="A222" s="34"/>
      <c r="B222" s="34"/>
      <c r="C222" s="34"/>
      <c r="D222" s="34"/>
      <c r="E222" s="34"/>
      <c r="F222" s="34"/>
      <c r="G222" s="34"/>
      <c r="H222" s="34"/>
      <c r="I222" s="36"/>
      <c r="J222" s="36"/>
      <c r="K222" s="36"/>
      <c r="L222" s="36"/>
      <c r="M222" s="36"/>
    </row>
    <row r="223" spans="1:13" x14ac:dyDescent="0.25">
      <c r="A223" s="34"/>
      <c r="B223" s="34"/>
      <c r="C223" s="34"/>
      <c r="D223" s="34"/>
      <c r="E223" s="34"/>
      <c r="F223" s="34"/>
      <c r="G223" s="34"/>
      <c r="H223" s="34"/>
      <c r="I223" s="36"/>
      <c r="J223" s="36"/>
      <c r="K223" s="36"/>
      <c r="L223" s="36"/>
      <c r="M223" s="36"/>
    </row>
    <row r="224" spans="1:13" x14ac:dyDescent="0.25">
      <c r="A224" s="34"/>
      <c r="B224" s="34"/>
      <c r="C224" s="34"/>
      <c r="D224" s="34"/>
      <c r="E224" s="34"/>
      <c r="F224" s="34"/>
      <c r="G224" s="34"/>
      <c r="H224" s="34"/>
      <c r="I224" s="36"/>
      <c r="J224" s="36"/>
      <c r="K224" s="36"/>
      <c r="L224" s="36"/>
      <c r="M224" s="36"/>
    </row>
    <row r="225" spans="1:13" x14ac:dyDescent="0.25">
      <c r="A225" s="34"/>
      <c r="B225" s="34"/>
      <c r="C225" s="34"/>
      <c r="D225" s="34"/>
      <c r="E225" s="34"/>
      <c r="F225" s="34"/>
      <c r="G225" s="34"/>
      <c r="H225" s="34"/>
      <c r="I225" s="36"/>
      <c r="J225" s="36"/>
      <c r="K225" s="36"/>
      <c r="L225" s="36"/>
      <c r="M225" s="36"/>
    </row>
    <row r="226" spans="1:13" x14ac:dyDescent="0.25">
      <c r="A226" s="34"/>
      <c r="B226" s="34"/>
      <c r="C226" s="34"/>
      <c r="D226" s="34"/>
      <c r="E226" s="34"/>
      <c r="F226" s="34"/>
      <c r="G226" s="34"/>
      <c r="H226" s="34"/>
      <c r="I226" s="36"/>
      <c r="J226" s="36"/>
      <c r="K226" s="36"/>
      <c r="L226" s="36"/>
      <c r="M226" s="36"/>
    </row>
    <row r="227" spans="1:13" x14ac:dyDescent="0.25">
      <c r="A227" s="34"/>
      <c r="B227" s="34"/>
      <c r="C227" s="34"/>
      <c r="D227" s="34"/>
      <c r="E227" s="34"/>
      <c r="F227" s="34"/>
      <c r="G227" s="34"/>
      <c r="H227" s="34"/>
      <c r="I227" s="36"/>
      <c r="J227" s="36"/>
      <c r="K227" s="36"/>
      <c r="L227" s="36"/>
      <c r="M227" s="36"/>
    </row>
    <row r="228" spans="1:13" x14ac:dyDescent="0.25">
      <c r="A228" s="34"/>
      <c r="B228" s="34"/>
      <c r="C228" s="34"/>
      <c r="D228" s="34"/>
      <c r="E228" s="34"/>
      <c r="F228" s="34"/>
      <c r="G228" s="34"/>
      <c r="H228" s="34"/>
      <c r="I228" s="36"/>
      <c r="J228" s="36"/>
      <c r="K228" s="36"/>
      <c r="L228" s="36"/>
      <c r="M228" s="36"/>
    </row>
    <row r="229" spans="1:13" x14ac:dyDescent="0.25">
      <c r="A229" s="34"/>
      <c r="B229" s="34"/>
      <c r="C229" s="34"/>
      <c r="D229" s="34"/>
      <c r="E229" s="34"/>
      <c r="F229" s="34"/>
      <c r="G229" s="34"/>
      <c r="H229" s="34"/>
      <c r="I229" s="36"/>
      <c r="J229" s="36"/>
      <c r="K229" s="36"/>
      <c r="L229" s="36"/>
      <c r="M229" s="36"/>
    </row>
    <row r="230" spans="1:13" x14ac:dyDescent="0.25">
      <c r="A230" s="34"/>
      <c r="B230" s="34"/>
      <c r="C230" s="34"/>
      <c r="D230" s="34"/>
      <c r="E230" s="34"/>
      <c r="F230" s="34"/>
      <c r="G230" s="34"/>
      <c r="H230" s="34"/>
      <c r="I230" s="36"/>
      <c r="J230" s="36"/>
      <c r="K230" s="36"/>
      <c r="L230" s="36"/>
      <c r="M230" s="36"/>
    </row>
    <row r="231" spans="1:13" x14ac:dyDescent="0.25">
      <c r="A231" s="34"/>
      <c r="B231" s="34"/>
      <c r="C231" s="34"/>
      <c r="D231" s="34"/>
      <c r="E231" s="34"/>
      <c r="F231" s="34"/>
      <c r="G231" s="34"/>
      <c r="H231" s="34"/>
      <c r="I231" s="36"/>
      <c r="J231" s="36"/>
      <c r="K231" s="36"/>
      <c r="L231" s="36"/>
      <c r="M231" s="36"/>
    </row>
    <row r="232" spans="1:13" x14ac:dyDescent="0.25">
      <c r="A232" s="34"/>
      <c r="B232" s="34"/>
      <c r="C232" s="34"/>
      <c r="D232" s="34"/>
      <c r="E232" s="34"/>
      <c r="F232" s="34"/>
      <c r="G232" s="34"/>
      <c r="H232" s="34"/>
      <c r="I232" s="36"/>
      <c r="J232" s="36"/>
      <c r="K232" s="36"/>
      <c r="L232" s="36"/>
      <c r="M232" s="36"/>
    </row>
    <row r="233" spans="1:13" x14ac:dyDescent="0.25">
      <c r="A233" s="34"/>
      <c r="B233" s="34"/>
      <c r="C233" s="34"/>
      <c r="D233" s="34"/>
      <c r="E233" s="34"/>
      <c r="F233" s="34"/>
      <c r="G233" s="34"/>
      <c r="H233" s="34"/>
      <c r="I233" s="36"/>
      <c r="J233" s="36"/>
      <c r="K233" s="36"/>
      <c r="L233" s="36"/>
      <c r="M233" s="36"/>
    </row>
    <row r="234" spans="1:13" x14ac:dyDescent="0.25">
      <c r="A234" s="34"/>
      <c r="B234" s="34"/>
      <c r="C234" s="34"/>
      <c r="D234" s="34"/>
      <c r="E234" s="34"/>
      <c r="F234" s="34"/>
      <c r="G234" s="34"/>
      <c r="H234" s="34"/>
      <c r="I234" s="36"/>
      <c r="J234" s="36"/>
      <c r="K234" s="36"/>
      <c r="L234" s="36"/>
      <c r="M234" s="36"/>
    </row>
    <row r="235" spans="1:13" x14ac:dyDescent="0.25">
      <c r="A235" s="34"/>
      <c r="B235" s="34"/>
      <c r="C235" s="34"/>
      <c r="D235" s="34"/>
      <c r="E235" s="34"/>
      <c r="F235" s="34"/>
      <c r="G235" s="34"/>
      <c r="H235" s="34"/>
      <c r="I235" s="36"/>
      <c r="J235" s="36"/>
      <c r="K235" s="36"/>
      <c r="L235" s="36"/>
      <c r="M235" s="36"/>
    </row>
    <row r="236" spans="1:13" x14ac:dyDescent="0.25">
      <c r="A236" s="34"/>
      <c r="B236" s="34"/>
      <c r="C236" s="34"/>
      <c r="D236" s="34"/>
      <c r="E236" s="34"/>
      <c r="F236" s="34"/>
      <c r="G236" s="34"/>
      <c r="H236" s="34"/>
      <c r="I236" s="36"/>
      <c r="J236" s="36"/>
      <c r="K236" s="36"/>
      <c r="L236" s="36"/>
      <c r="M236" s="36"/>
    </row>
    <row r="237" spans="1:13" x14ac:dyDescent="0.25">
      <c r="A237" s="34"/>
      <c r="B237" s="34"/>
      <c r="C237" s="34"/>
      <c r="D237" s="34"/>
      <c r="E237" s="34"/>
      <c r="F237" s="34"/>
      <c r="G237" s="34"/>
      <c r="H237" s="34"/>
      <c r="I237" s="36"/>
      <c r="J237" s="36"/>
      <c r="K237" s="36"/>
      <c r="L237" s="36"/>
      <c r="M237" s="36"/>
    </row>
    <row r="238" spans="1:13" x14ac:dyDescent="0.25">
      <c r="A238" s="34"/>
      <c r="B238" s="34"/>
      <c r="C238" s="34"/>
      <c r="D238" s="34"/>
      <c r="E238" s="34"/>
      <c r="F238" s="34"/>
      <c r="G238" s="34"/>
      <c r="H238" s="34"/>
      <c r="I238" s="36"/>
      <c r="J238" s="36"/>
      <c r="K238" s="36"/>
      <c r="L238" s="36"/>
      <c r="M238" s="36"/>
    </row>
    <row r="239" spans="1:13" x14ac:dyDescent="0.25">
      <c r="A239" s="34"/>
      <c r="B239" s="34"/>
      <c r="C239" s="34"/>
      <c r="D239" s="34"/>
      <c r="E239" s="34"/>
      <c r="F239" s="34"/>
      <c r="G239" s="34"/>
      <c r="H239" s="34"/>
      <c r="I239" s="36"/>
      <c r="J239" s="36"/>
      <c r="K239" s="36"/>
      <c r="L239" s="36"/>
      <c r="M239" s="36"/>
    </row>
    <row r="240" spans="1:13" x14ac:dyDescent="0.25">
      <c r="A240" s="34"/>
      <c r="B240" s="34"/>
      <c r="C240" s="34"/>
      <c r="D240" s="34"/>
      <c r="E240" s="34"/>
      <c r="F240" s="34"/>
      <c r="G240" s="34"/>
      <c r="H240" s="34"/>
      <c r="I240" s="36"/>
      <c r="J240" s="36"/>
      <c r="K240" s="36"/>
      <c r="L240" s="36"/>
      <c r="M240" s="36"/>
    </row>
    <row r="241" spans="1:13" x14ac:dyDescent="0.25">
      <c r="A241" s="34"/>
      <c r="B241" s="34"/>
      <c r="C241" s="34"/>
      <c r="D241" s="34"/>
      <c r="E241" s="34"/>
      <c r="F241" s="34"/>
      <c r="G241" s="34"/>
      <c r="H241" s="34"/>
      <c r="I241" s="36"/>
      <c r="J241" s="36"/>
      <c r="K241" s="36"/>
      <c r="L241" s="36"/>
      <c r="M241" s="36"/>
    </row>
    <row r="242" spans="1:13" x14ac:dyDescent="0.25">
      <c r="A242" s="34"/>
      <c r="B242" s="34"/>
      <c r="C242" s="34"/>
      <c r="D242" s="34"/>
      <c r="E242" s="34"/>
      <c r="F242" s="34"/>
      <c r="G242" s="34"/>
      <c r="H242" s="34"/>
      <c r="I242" s="36"/>
      <c r="J242" s="36"/>
      <c r="K242" s="36"/>
      <c r="L242" s="36"/>
      <c r="M242" s="36"/>
    </row>
    <row r="243" spans="1:13" x14ac:dyDescent="0.25">
      <c r="A243" s="34"/>
      <c r="B243" s="34"/>
      <c r="C243" s="34"/>
      <c r="D243" s="34"/>
      <c r="E243" s="34"/>
      <c r="F243" s="34"/>
      <c r="G243" s="34"/>
      <c r="H243" s="34"/>
      <c r="I243" s="36"/>
      <c r="J243" s="36"/>
      <c r="K243" s="36"/>
      <c r="L243" s="36"/>
      <c r="M243" s="36"/>
    </row>
    <row r="244" spans="1:13" x14ac:dyDescent="0.25">
      <c r="A244" s="34"/>
      <c r="B244" s="34"/>
      <c r="C244" s="34"/>
      <c r="D244" s="34"/>
      <c r="E244" s="34"/>
      <c r="F244" s="34"/>
      <c r="G244" s="34"/>
      <c r="H244" s="34"/>
      <c r="I244" s="36"/>
      <c r="J244" s="36"/>
      <c r="K244" s="36"/>
      <c r="L244" s="36"/>
      <c r="M244" s="36"/>
    </row>
    <row r="245" spans="1:13" x14ac:dyDescent="0.25">
      <c r="A245" s="34"/>
      <c r="B245" s="34"/>
      <c r="C245" s="34"/>
      <c r="D245" s="34"/>
      <c r="E245" s="34"/>
      <c r="F245" s="34"/>
      <c r="G245" s="34"/>
      <c r="H245" s="34"/>
      <c r="I245" s="36"/>
      <c r="J245" s="36"/>
      <c r="K245" s="36"/>
      <c r="L245" s="36"/>
      <c r="M245" s="36"/>
    </row>
    <row r="246" spans="1:13" x14ac:dyDescent="0.25">
      <c r="A246" s="34"/>
      <c r="B246" s="34"/>
      <c r="C246" s="34"/>
      <c r="D246" s="34"/>
      <c r="E246" s="34"/>
      <c r="F246" s="34"/>
      <c r="G246" s="34"/>
      <c r="H246" s="34"/>
      <c r="I246" s="36"/>
      <c r="J246" s="36"/>
      <c r="K246" s="36"/>
      <c r="L246" s="36"/>
      <c r="M246" s="36"/>
    </row>
    <row r="247" spans="1:13" x14ac:dyDescent="0.25">
      <c r="A247" s="34"/>
      <c r="B247" s="34"/>
      <c r="C247" s="34"/>
      <c r="D247" s="34"/>
      <c r="E247" s="34"/>
      <c r="F247" s="34"/>
      <c r="G247" s="34"/>
      <c r="H247" s="34"/>
      <c r="I247" s="36"/>
      <c r="J247" s="36"/>
      <c r="K247" s="36"/>
      <c r="L247" s="36"/>
      <c r="M247" s="36"/>
    </row>
    <row r="248" spans="1:13" x14ac:dyDescent="0.25">
      <c r="A248" s="34"/>
      <c r="B248" s="34"/>
      <c r="C248" s="34"/>
      <c r="D248" s="34"/>
      <c r="E248" s="34"/>
      <c r="F248" s="34"/>
      <c r="G248" s="34"/>
      <c r="H248" s="34"/>
      <c r="I248" s="36"/>
      <c r="J248" s="36"/>
      <c r="K248" s="36"/>
      <c r="L248" s="36"/>
      <c r="M248" s="36"/>
    </row>
    <row r="249" spans="1:13" x14ac:dyDescent="0.25">
      <c r="A249" s="34"/>
      <c r="B249" s="34"/>
      <c r="C249" s="34"/>
      <c r="D249" s="34"/>
      <c r="E249" s="34"/>
      <c r="F249" s="34"/>
      <c r="G249" s="34"/>
      <c r="H249" s="34"/>
      <c r="I249" s="36"/>
      <c r="J249" s="36"/>
      <c r="K249" s="36"/>
      <c r="L249" s="36"/>
      <c r="M249" s="36"/>
    </row>
    <row r="250" spans="1:13" x14ac:dyDescent="0.25">
      <c r="A250" s="34"/>
      <c r="B250" s="34"/>
      <c r="C250" s="34"/>
      <c r="D250" s="34"/>
      <c r="E250" s="34"/>
      <c r="F250" s="34"/>
      <c r="G250" s="34"/>
      <c r="H250" s="34"/>
      <c r="I250" s="36"/>
      <c r="J250" s="36"/>
      <c r="K250" s="36"/>
      <c r="L250" s="36"/>
      <c r="M250" s="36"/>
    </row>
    <row r="251" spans="1:13" x14ac:dyDescent="0.25">
      <c r="A251" s="34"/>
      <c r="B251" s="34"/>
      <c r="C251" s="34"/>
      <c r="D251" s="34"/>
      <c r="E251" s="34"/>
      <c r="F251" s="34"/>
      <c r="G251" s="34"/>
      <c r="H251" s="34"/>
      <c r="I251" s="36"/>
      <c r="J251" s="36"/>
      <c r="K251" s="36"/>
      <c r="L251" s="36"/>
      <c r="M251" s="36"/>
    </row>
    <row r="252" spans="1:13" x14ac:dyDescent="0.25">
      <c r="A252" s="34"/>
      <c r="B252" s="34"/>
      <c r="C252" s="34"/>
      <c r="D252" s="34"/>
      <c r="E252" s="34"/>
      <c r="F252" s="34"/>
      <c r="G252" s="34"/>
      <c r="H252" s="34"/>
      <c r="I252" s="36"/>
      <c r="J252" s="36"/>
      <c r="K252" s="36"/>
      <c r="L252" s="36"/>
      <c r="M252" s="36"/>
    </row>
    <row r="253" spans="1:13" x14ac:dyDescent="0.25">
      <c r="A253" s="34"/>
      <c r="B253" s="34"/>
      <c r="C253" s="34"/>
      <c r="D253" s="34"/>
      <c r="E253" s="34"/>
      <c r="F253" s="34"/>
      <c r="G253" s="34"/>
      <c r="H253" s="34"/>
      <c r="I253" s="36"/>
      <c r="J253" s="36"/>
      <c r="K253" s="36"/>
      <c r="L253" s="36"/>
      <c r="M253" s="36"/>
    </row>
    <row r="254" spans="1:13" x14ac:dyDescent="0.25">
      <c r="A254" s="34"/>
      <c r="B254" s="34"/>
      <c r="C254" s="34"/>
      <c r="D254" s="34"/>
      <c r="E254" s="34"/>
      <c r="F254" s="34"/>
      <c r="G254" s="34"/>
      <c r="H254" s="34"/>
      <c r="I254" s="36"/>
      <c r="J254" s="36"/>
      <c r="K254" s="36"/>
      <c r="L254" s="36"/>
      <c r="M254" s="36"/>
    </row>
    <row r="255" spans="1:13" x14ac:dyDescent="0.25">
      <c r="A255" s="34"/>
      <c r="B255" s="34"/>
      <c r="C255" s="34"/>
      <c r="D255" s="34"/>
      <c r="E255" s="34"/>
      <c r="F255" s="34"/>
      <c r="G255" s="34"/>
      <c r="H255" s="34"/>
      <c r="I255" s="36"/>
      <c r="J255" s="36"/>
      <c r="K255" s="36"/>
      <c r="L255" s="36"/>
      <c r="M255" s="36"/>
    </row>
    <row r="256" spans="1:13" x14ac:dyDescent="0.25">
      <c r="A256" s="34"/>
      <c r="B256" s="34"/>
      <c r="C256" s="34"/>
      <c r="D256" s="34"/>
      <c r="E256" s="34"/>
      <c r="F256" s="34"/>
      <c r="G256" s="34"/>
      <c r="H256" s="34"/>
      <c r="I256" s="36"/>
      <c r="J256" s="36"/>
      <c r="K256" s="36"/>
      <c r="L256" s="36"/>
      <c r="M256" s="36"/>
    </row>
    <row r="257" spans="1:13" x14ac:dyDescent="0.25">
      <c r="A257" s="34"/>
      <c r="B257" s="34"/>
      <c r="C257" s="34"/>
      <c r="D257" s="34"/>
      <c r="E257" s="34"/>
      <c r="F257" s="34"/>
      <c r="G257" s="34"/>
      <c r="H257" s="34"/>
      <c r="I257" s="36"/>
      <c r="J257" s="36"/>
      <c r="K257" s="36"/>
      <c r="L257" s="36"/>
      <c r="M257" s="36"/>
    </row>
    <row r="258" spans="1:13" x14ac:dyDescent="0.25">
      <c r="A258" s="34"/>
      <c r="B258" s="34"/>
      <c r="C258" s="34"/>
      <c r="D258" s="34"/>
      <c r="E258" s="34"/>
      <c r="F258" s="34"/>
      <c r="G258" s="34"/>
      <c r="H258" s="34"/>
      <c r="I258" s="36"/>
      <c r="J258" s="36"/>
      <c r="K258" s="36"/>
      <c r="L258" s="36"/>
      <c r="M258" s="36"/>
    </row>
    <row r="259" spans="1:13" x14ac:dyDescent="0.25">
      <c r="A259" s="34"/>
      <c r="B259" s="34"/>
      <c r="C259" s="34"/>
      <c r="D259" s="34"/>
      <c r="E259" s="34"/>
      <c r="F259" s="34"/>
      <c r="G259" s="34"/>
      <c r="H259" s="34"/>
      <c r="I259" s="36"/>
      <c r="J259" s="36"/>
      <c r="K259" s="36"/>
      <c r="L259" s="36"/>
      <c r="M259" s="36"/>
    </row>
    <row r="260" spans="1:13" x14ac:dyDescent="0.25">
      <c r="A260" s="34"/>
      <c r="B260" s="34"/>
      <c r="C260" s="34"/>
      <c r="D260" s="34"/>
      <c r="E260" s="34"/>
      <c r="F260" s="34"/>
      <c r="G260" s="34"/>
      <c r="H260" s="34"/>
      <c r="I260" s="36"/>
      <c r="J260" s="36"/>
      <c r="K260" s="36"/>
      <c r="L260" s="36"/>
      <c r="M260" s="36"/>
    </row>
    <row r="261" spans="1:13" x14ac:dyDescent="0.25">
      <c r="A261" s="34"/>
      <c r="B261" s="34"/>
      <c r="C261" s="34"/>
      <c r="D261" s="34"/>
      <c r="E261" s="34"/>
      <c r="F261" s="34"/>
      <c r="G261" s="34"/>
      <c r="H261" s="34"/>
      <c r="I261" s="36"/>
      <c r="J261" s="36"/>
      <c r="K261" s="36"/>
      <c r="L261" s="36"/>
      <c r="M261" s="36"/>
    </row>
    <row r="262" spans="1:13" x14ac:dyDescent="0.25">
      <c r="A262" s="34"/>
      <c r="B262" s="34"/>
      <c r="C262" s="34"/>
      <c r="D262" s="34"/>
      <c r="E262" s="34"/>
      <c r="F262" s="34"/>
      <c r="G262" s="34"/>
      <c r="H262" s="34"/>
      <c r="I262" s="36"/>
      <c r="J262" s="36"/>
      <c r="K262" s="36"/>
      <c r="L262" s="36"/>
      <c r="M262" s="36"/>
    </row>
    <row r="263" spans="1:13" x14ac:dyDescent="0.25">
      <c r="A263" s="34"/>
      <c r="B263" s="34"/>
      <c r="C263" s="34"/>
      <c r="D263" s="34"/>
      <c r="E263" s="34"/>
      <c r="F263" s="34"/>
      <c r="G263" s="34"/>
      <c r="H263" s="34"/>
      <c r="I263" s="36"/>
      <c r="J263" s="36"/>
      <c r="K263" s="36"/>
      <c r="L263" s="36"/>
      <c r="M263" s="36"/>
    </row>
    <row r="264" spans="1:13" x14ac:dyDescent="0.25">
      <c r="A264" s="34"/>
      <c r="B264" s="34"/>
      <c r="C264" s="34"/>
      <c r="D264" s="34"/>
      <c r="E264" s="34"/>
      <c r="F264" s="34"/>
      <c r="G264" s="34"/>
      <c r="H264" s="34"/>
      <c r="I264" s="36"/>
      <c r="J264" s="36"/>
      <c r="K264" s="36"/>
      <c r="L264" s="36"/>
      <c r="M264" s="36"/>
    </row>
    <row r="265" spans="1:13" x14ac:dyDescent="0.25">
      <c r="A265" s="34"/>
      <c r="B265" s="34"/>
      <c r="C265" s="34"/>
      <c r="D265" s="34"/>
      <c r="E265" s="34"/>
      <c r="F265" s="34"/>
      <c r="G265" s="34"/>
      <c r="H265" s="34"/>
      <c r="I265" s="36"/>
      <c r="J265" s="36"/>
      <c r="K265" s="36"/>
      <c r="L265" s="36"/>
      <c r="M265" s="36"/>
    </row>
    <row r="266" spans="1:13" x14ac:dyDescent="0.25">
      <c r="A266" s="34"/>
      <c r="B266" s="34"/>
      <c r="C266" s="34"/>
      <c r="D266" s="34"/>
      <c r="E266" s="34"/>
      <c r="F266" s="34"/>
      <c r="G266" s="34"/>
      <c r="H266" s="34"/>
      <c r="I266" s="36"/>
      <c r="J266" s="36"/>
      <c r="K266" s="36"/>
      <c r="L266" s="36"/>
      <c r="M266" s="36"/>
    </row>
    <row r="267" spans="1:13" x14ac:dyDescent="0.25">
      <c r="A267" s="34"/>
      <c r="B267" s="34"/>
      <c r="C267" s="34"/>
      <c r="D267" s="34"/>
      <c r="E267" s="34"/>
      <c r="F267" s="34"/>
      <c r="G267" s="34"/>
      <c r="H267" s="34"/>
      <c r="I267" s="36"/>
      <c r="J267" s="36"/>
      <c r="K267" s="36"/>
      <c r="L267" s="36"/>
      <c r="M267" s="36"/>
    </row>
    <row r="268" spans="1:13" x14ac:dyDescent="0.25">
      <c r="A268" s="34"/>
      <c r="B268" s="34"/>
      <c r="C268" s="34"/>
      <c r="D268" s="34"/>
      <c r="E268" s="34"/>
      <c r="F268" s="34"/>
      <c r="G268" s="34"/>
      <c r="H268" s="34"/>
      <c r="I268" s="36"/>
      <c r="J268" s="36"/>
      <c r="K268" s="36"/>
      <c r="L268" s="36"/>
      <c r="M268" s="36"/>
    </row>
    <row r="269" spans="1:13" x14ac:dyDescent="0.25">
      <c r="A269" s="34"/>
      <c r="B269" s="34"/>
      <c r="C269" s="34"/>
      <c r="D269" s="34"/>
      <c r="E269" s="34"/>
      <c r="F269" s="34"/>
      <c r="G269" s="34"/>
      <c r="H269" s="34"/>
      <c r="I269" s="36"/>
      <c r="J269" s="36"/>
      <c r="K269" s="36"/>
      <c r="L269" s="36"/>
      <c r="M269" s="36"/>
    </row>
    <row r="270" spans="1:13" x14ac:dyDescent="0.25">
      <c r="A270" s="34"/>
      <c r="B270" s="34"/>
      <c r="C270" s="34"/>
      <c r="D270" s="34"/>
      <c r="E270" s="34"/>
      <c r="F270" s="34"/>
      <c r="G270" s="34"/>
      <c r="H270" s="34"/>
      <c r="I270" s="36"/>
      <c r="J270" s="36"/>
      <c r="K270" s="36"/>
      <c r="L270" s="36"/>
      <c r="M270" s="36"/>
    </row>
    <row r="271" spans="1:13" x14ac:dyDescent="0.25">
      <c r="A271" s="34"/>
      <c r="B271" s="34"/>
      <c r="C271" s="34"/>
      <c r="D271" s="34"/>
      <c r="E271" s="34"/>
      <c r="F271" s="34"/>
      <c r="G271" s="34"/>
      <c r="H271" s="34"/>
      <c r="I271" s="36"/>
      <c r="J271" s="36"/>
      <c r="K271" s="36"/>
      <c r="L271" s="36"/>
      <c r="M271" s="36"/>
    </row>
    <row r="272" spans="1:13" x14ac:dyDescent="0.25">
      <c r="A272" s="34"/>
      <c r="B272" s="34"/>
      <c r="C272" s="34"/>
      <c r="D272" s="34"/>
      <c r="E272" s="34"/>
      <c r="F272" s="34"/>
      <c r="G272" s="34"/>
      <c r="H272" s="34"/>
      <c r="I272" s="36"/>
      <c r="J272" s="36"/>
      <c r="K272" s="36"/>
      <c r="L272" s="36"/>
      <c r="M272" s="36"/>
    </row>
    <row r="273" spans="1:13" x14ac:dyDescent="0.25">
      <c r="A273" s="34"/>
      <c r="B273" s="34"/>
      <c r="C273" s="34"/>
      <c r="D273" s="34"/>
      <c r="E273" s="34"/>
      <c r="F273" s="34"/>
      <c r="G273" s="34"/>
      <c r="H273" s="34"/>
      <c r="I273" s="36"/>
      <c r="J273" s="36"/>
      <c r="K273" s="36"/>
      <c r="L273" s="36"/>
      <c r="M273" s="36"/>
    </row>
    <row r="274" spans="1:13" x14ac:dyDescent="0.25">
      <c r="A274" s="34"/>
      <c r="B274" s="34"/>
      <c r="C274" s="34"/>
      <c r="D274" s="34"/>
      <c r="E274" s="34"/>
      <c r="F274" s="34"/>
      <c r="G274" s="34"/>
      <c r="H274" s="34"/>
      <c r="I274" s="36"/>
      <c r="J274" s="36"/>
      <c r="K274" s="36"/>
      <c r="L274" s="36"/>
      <c r="M274" s="36"/>
    </row>
    <row r="275" spans="1:13" x14ac:dyDescent="0.25">
      <c r="A275" s="34"/>
      <c r="B275" s="34"/>
      <c r="C275" s="34"/>
      <c r="D275" s="34"/>
      <c r="E275" s="34"/>
      <c r="F275" s="34"/>
      <c r="G275" s="34"/>
      <c r="H275" s="34"/>
      <c r="I275" s="36"/>
      <c r="J275" s="36"/>
      <c r="K275" s="36"/>
      <c r="L275" s="36"/>
      <c r="M275" s="36"/>
    </row>
    <row r="276" spans="1:13" x14ac:dyDescent="0.25">
      <c r="A276" s="34"/>
      <c r="B276" s="34"/>
      <c r="C276" s="34"/>
      <c r="D276" s="34"/>
      <c r="E276" s="34"/>
      <c r="F276" s="34"/>
      <c r="G276" s="34"/>
      <c r="H276" s="34"/>
      <c r="I276" s="36"/>
      <c r="J276" s="36"/>
      <c r="K276" s="36"/>
      <c r="L276" s="36"/>
      <c r="M276" s="36"/>
    </row>
    <row r="277" spans="1:13" x14ac:dyDescent="0.25">
      <c r="A277" s="34"/>
      <c r="B277" s="34"/>
      <c r="C277" s="34"/>
      <c r="D277" s="34"/>
      <c r="E277" s="34"/>
      <c r="F277" s="34"/>
      <c r="G277" s="34"/>
      <c r="H277" s="34"/>
      <c r="I277" s="36"/>
      <c r="J277" s="36"/>
      <c r="K277" s="36"/>
      <c r="L277" s="36"/>
      <c r="M277" s="36"/>
    </row>
    <row r="278" spans="1:13" x14ac:dyDescent="0.25">
      <c r="A278" s="34"/>
      <c r="B278" s="34"/>
      <c r="C278" s="34"/>
      <c r="D278" s="34"/>
      <c r="E278" s="34"/>
      <c r="F278" s="34"/>
      <c r="G278" s="34"/>
      <c r="H278" s="34"/>
      <c r="I278" s="36"/>
      <c r="J278" s="36"/>
      <c r="K278" s="36"/>
      <c r="L278" s="36"/>
      <c r="M278" s="36"/>
    </row>
    <row r="279" spans="1:13" x14ac:dyDescent="0.25">
      <c r="A279" s="34"/>
      <c r="B279" s="34"/>
      <c r="C279" s="34"/>
      <c r="D279" s="34"/>
      <c r="E279" s="34"/>
      <c r="F279" s="34"/>
      <c r="G279" s="34"/>
      <c r="H279" s="34"/>
      <c r="I279" s="36"/>
      <c r="J279" s="36"/>
      <c r="K279" s="36"/>
      <c r="L279" s="36"/>
      <c r="M279" s="36"/>
    </row>
    <row r="280" spans="1:13" x14ac:dyDescent="0.25">
      <c r="A280" s="34"/>
      <c r="B280" s="34"/>
      <c r="C280" s="34"/>
      <c r="D280" s="34"/>
      <c r="E280" s="34"/>
      <c r="F280" s="34"/>
      <c r="G280" s="34"/>
      <c r="H280" s="34"/>
      <c r="I280" s="36"/>
      <c r="J280" s="36"/>
      <c r="K280" s="36"/>
      <c r="L280" s="36"/>
      <c r="M280" s="36"/>
    </row>
    <row r="281" spans="1:13" x14ac:dyDescent="0.25">
      <c r="A281" s="34"/>
      <c r="B281" s="34"/>
      <c r="C281" s="34"/>
      <c r="D281" s="34"/>
      <c r="E281" s="34"/>
      <c r="F281" s="34"/>
      <c r="G281" s="34"/>
      <c r="H281" s="34"/>
      <c r="I281" s="36"/>
      <c r="J281" s="36"/>
      <c r="K281" s="36"/>
      <c r="L281" s="36"/>
      <c r="M281" s="36"/>
    </row>
    <row r="282" spans="1:13" x14ac:dyDescent="0.25">
      <c r="A282" s="34"/>
      <c r="B282" s="34"/>
      <c r="C282" s="34"/>
      <c r="D282" s="34"/>
      <c r="E282" s="34"/>
      <c r="F282" s="34"/>
      <c r="G282" s="34"/>
      <c r="H282" s="34"/>
      <c r="I282" s="36"/>
      <c r="J282" s="36"/>
      <c r="K282" s="36"/>
      <c r="L282" s="36"/>
      <c r="M282" s="36"/>
    </row>
    <row r="283" spans="1:13" x14ac:dyDescent="0.25">
      <c r="A283" s="34"/>
      <c r="B283" s="34"/>
      <c r="C283" s="34"/>
      <c r="D283" s="34"/>
      <c r="E283" s="34"/>
      <c r="F283" s="34"/>
      <c r="G283" s="34"/>
      <c r="H283" s="34"/>
      <c r="I283" s="36"/>
      <c r="J283" s="36"/>
      <c r="K283" s="36"/>
      <c r="L283" s="36"/>
      <c r="M283" s="36"/>
    </row>
    <row r="284" spans="1:13" x14ac:dyDescent="0.25">
      <c r="A284" s="34"/>
      <c r="B284" s="34"/>
      <c r="C284" s="34"/>
      <c r="D284" s="34"/>
      <c r="E284" s="34"/>
      <c r="F284" s="34"/>
      <c r="G284" s="34"/>
      <c r="H284" s="34"/>
      <c r="I284" s="36"/>
      <c r="J284" s="36"/>
      <c r="K284" s="36"/>
      <c r="L284" s="36"/>
      <c r="M284" s="36"/>
    </row>
    <row r="285" spans="1:13" x14ac:dyDescent="0.25">
      <c r="A285" s="34"/>
      <c r="B285" s="34"/>
      <c r="C285" s="34"/>
      <c r="D285" s="34"/>
      <c r="E285" s="34"/>
      <c r="F285" s="34"/>
      <c r="G285" s="34"/>
      <c r="H285" s="34"/>
      <c r="I285" s="36"/>
      <c r="J285" s="36"/>
      <c r="K285" s="36"/>
      <c r="L285" s="36"/>
      <c r="M285" s="36"/>
    </row>
    <row r="286" spans="1:13" x14ac:dyDescent="0.25">
      <c r="A286" s="34"/>
      <c r="B286" s="34"/>
      <c r="C286" s="34"/>
      <c r="D286" s="34"/>
      <c r="E286" s="34"/>
      <c r="F286" s="34"/>
      <c r="G286" s="34"/>
      <c r="H286" s="34"/>
      <c r="I286" s="36"/>
      <c r="J286" s="36"/>
      <c r="K286" s="36"/>
      <c r="L286" s="36"/>
      <c r="M286" s="36"/>
    </row>
    <row r="287" spans="1:13" x14ac:dyDescent="0.25">
      <c r="A287" s="34"/>
      <c r="B287" s="34"/>
      <c r="C287" s="34"/>
      <c r="D287" s="34"/>
      <c r="E287" s="34"/>
      <c r="F287" s="34"/>
      <c r="G287" s="34"/>
      <c r="H287" s="34"/>
      <c r="I287" s="36"/>
      <c r="J287" s="36"/>
      <c r="K287" s="36"/>
      <c r="L287" s="36"/>
      <c r="M287" s="36"/>
    </row>
    <row r="288" spans="1:13" x14ac:dyDescent="0.25">
      <c r="A288" s="34"/>
      <c r="B288" s="34"/>
      <c r="C288" s="34"/>
      <c r="D288" s="34"/>
      <c r="E288" s="34"/>
      <c r="F288" s="34"/>
      <c r="G288" s="34"/>
      <c r="H288" s="34"/>
      <c r="I288" s="36"/>
      <c r="J288" s="36"/>
      <c r="K288" s="36"/>
      <c r="L288" s="36"/>
      <c r="M288" s="36"/>
    </row>
    <row r="289" spans="1:13" x14ac:dyDescent="0.25">
      <c r="A289" s="34"/>
      <c r="B289" s="34"/>
      <c r="C289" s="34"/>
      <c r="D289" s="34"/>
      <c r="E289" s="34"/>
      <c r="F289" s="34"/>
      <c r="G289" s="34"/>
      <c r="H289" s="34"/>
      <c r="I289" s="36"/>
      <c r="J289" s="36"/>
      <c r="K289" s="36"/>
      <c r="L289" s="36"/>
      <c r="M289" s="36"/>
    </row>
    <row r="290" spans="1:13" x14ac:dyDescent="0.25">
      <c r="A290" s="34"/>
      <c r="B290" s="34"/>
      <c r="C290" s="34"/>
      <c r="D290" s="34"/>
      <c r="E290" s="34"/>
      <c r="F290" s="34"/>
      <c r="G290" s="34"/>
      <c r="H290" s="34"/>
      <c r="I290" s="36"/>
      <c r="J290" s="36"/>
      <c r="K290" s="36"/>
      <c r="L290" s="36"/>
      <c r="M290" s="36"/>
    </row>
    <row r="291" spans="1:13" x14ac:dyDescent="0.25">
      <c r="A291" s="34"/>
      <c r="B291" s="34"/>
      <c r="C291" s="34"/>
      <c r="D291" s="34"/>
      <c r="E291" s="34"/>
      <c r="F291" s="34"/>
      <c r="G291" s="34"/>
      <c r="H291" s="34"/>
      <c r="I291" s="36"/>
      <c r="J291" s="36"/>
      <c r="K291" s="36"/>
      <c r="L291" s="36"/>
      <c r="M291" s="36"/>
    </row>
    <row r="292" spans="1:13" x14ac:dyDescent="0.25">
      <c r="A292" s="34"/>
      <c r="B292" s="34"/>
      <c r="C292" s="34"/>
      <c r="D292" s="34"/>
      <c r="E292" s="34"/>
      <c r="F292" s="34"/>
      <c r="G292" s="34"/>
      <c r="H292" s="34"/>
      <c r="I292" s="36"/>
      <c r="J292" s="36"/>
      <c r="K292" s="36"/>
      <c r="L292" s="36"/>
      <c r="M292" s="36"/>
    </row>
    <row r="293" spans="1:13" x14ac:dyDescent="0.25">
      <c r="A293" s="34"/>
      <c r="B293" s="34"/>
      <c r="C293" s="34"/>
      <c r="D293" s="34"/>
      <c r="E293" s="34"/>
      <c r="F293" s="34"/>
      <c r="G293" s="34"/>
      <c r="H293" s="34"/>
      <c r="I293" s="36"/>
      <c r="J293" s="36"/>
      <c r="K293" s="36"/>
      <c r="L293" s="36"/>
      <c r="M293" s="36"/>
    </row>
    <row r="294" spans="1:13" x14ac:dyDescent="0.25">
      <c r="A294" s="34"/>
      <c r="B294" s="34"/>
      <c r="C294" s="34"/>
      <c r="D294" s="34"/>
      <c r="E294" s="34"/>
      <c r="F294" s="34"/>
      <c r="G294" s="34"/>
      <c r="H294" s="34"/>
      <c r="I294" s="36"/>
      <c r="J294" s="36"/>
      <c r="K294" s="36"/>
      <c r="L294" s="36"/>
      <c r="M294" s="36"/>
    </row>
    <row r="295" spans="1:13" x14ac:dyDescent="0.25">
      <c r="A295" s="34"/>
      <c r="B295" s="34"/>
      <c r="C295" s="34"/>
      <c r="D295" s="34"/>
      <c r="E295" s="34"/>
      <c r="F295" s="34"/>
      <c r="G295" s="34"/>
      <c r="H295" s="34"/>
      <c r="I295" s="36"/>
      <c r="J295" s="36"/>
      <c r="K295" s="36"/>
      <c r="L295" s="36"/>
      <c r="M295" s="36"/>
    </row>
    <row r="296" spans="1:13" x14ac:dyDescent="0.25">
      <c r="A296" s="34"/>
      <c r="B296" s="34"/>
      <c r="C296" s="34"/>
      <c r="D296" s="34"/>
      <c r="E296" s="34"/>
      <c r="F296" s="34"/>
      <c r="G296" s="34"/>
      <c r="H296" s="34"/>
      <c r="I296" s="36"/>
      <c r="J296" s="36"/>
      <c r="K296" s="36"/>
      <c r="L296" s="36"/>
      <c r="M296" s="36"/>
    </row>
    <row r="297" spans="1:13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spans="1:13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spans="1:13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spans="1:13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spans="1:13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spans="1:13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spans="1:13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spans="1:13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spans="1:13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spans="1:13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spans="1:13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spans="1:13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spans="1:13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spans="1:13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spans="1:13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spans="1:13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spans="1:13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spans="1:13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spans="1:13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spans="1:13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spans="1:13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spans="1:13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spans="1:13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spans="1:13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spans="1:13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spans="1:13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spans="1:13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spans="1:13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spans="1:13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spans="1:13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spans="1:13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spans="1:13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spans="1:13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spans="1:13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spans="1:13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spans="1:13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spans="1:13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spans="1:13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spans="1:13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spans="1:13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spans="1:13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spans="1:13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spans="1:13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spans="1:13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spans="1:13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spans="1:13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spans="1:13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spans="1:13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spans="1:13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spans="1:13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spans="1:13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spans="1:13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spans="1:13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spans="1:13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spans="1:13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spans="1:13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spans="1:13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spans="1:13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spans="1:13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spans="1:13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spans="1:13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spans="1:13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spans="1:13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spans="1:13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spans="1:13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spans="1:13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spans="1:13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spans="1:13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spans="1:13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spans="1:13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spans="1:13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spans="1:13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spans="1:13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spans="1:13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spans="1:13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spans="1:13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spans="1:13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spans="1:13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spans="1:13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spans="1:13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spans="1:13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spans="1:13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spans="1:13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spans="1:13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spans="1:13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spans="1:13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spans="1:13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spans="1:13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spans="1:13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spans="1:13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spans="1:13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spans="1:13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spans="1:13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spans="1:13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spans="1:13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spans="1:13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spans="1:13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spans="1:13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spans="1:13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spans="1:13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spans="1:13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spans="1:13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spans="1:13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spans="1:13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spans="1:13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spans="1:13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spans="1:13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spans="1:13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spans="1:13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spans="1:13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spans="1:13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spans="1:13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spans="1:13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spans="1:13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spans="1:13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spans="1:13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spans="1:13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spans="1:13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spans="1:13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spans="1:13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spans="1:13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spans="1:13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spans="1:13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spans="1:13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spans="1:13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spans="1:13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spans="1:13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spans="1:13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spans="1:13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spans="1:13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spans="1:13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spans="1:13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spans="1:13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spans="1:13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spans="1:13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spans="1:13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spans="1:13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spans="1:13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spans="1:13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spans="1:13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spans="1:13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spans="1:13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spans="1:13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spans="1:13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spans="1:13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spans="1:13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spans="1:13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spans="1:13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spans="1:13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spans="1:13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spans="1:13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spans="1:13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spans="1:13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spans="1:13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spans="1:13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spans="1:13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spans="1:13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spans="1:13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spans="1:13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spans="1:13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spans="1:13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spans="1:13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spans="1:13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spans="1:13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spans="1:13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spans="1:13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spans="1:13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spans="1:13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spans="1:13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spans="1:13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spans="1:13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spans="1:13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spans="1:13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spans="1:13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spans="1:13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spans="1:13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spans="1:13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spans="1:13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spans="1:13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spans="1:13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spans="1:13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spans="1:13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spans="1:13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spans="1:13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spans="1:13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spans="1:13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spans="1:13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spans="1:13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spans="1:13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spans="1:13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spans="1:13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spans="1:13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spans="1:13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spans="1:13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spans="1:13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spans="1:13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spans="1:13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spans="1:13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spans="1:13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spans="1:13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spans="1:13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spans="1:13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spans="1:13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spans="1:13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spans="1:13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spans="1:13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spans="1:13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spans="1:13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spans="1:13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spans="1:13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spans="1:13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spans="1:13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spans="1:13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spans="1:13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spans="1:13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spans="1:13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spans="1:13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spans="1:13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spans="1:13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spans="1:13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spans="1:13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spans="1:13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spans="1:13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spans="1:13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spans="1:13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spans="1:13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spans="1:13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spans="1:13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spans="1:13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spans="1:13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spans="1:13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spans="1:13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spans="1:13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spans="1:13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spans="1:13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spans="1:13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spans="1:13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spans="1:13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spans="1:13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spans="1:13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spans="1:13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spans="1:13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spans="1:13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spans="1:13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spans="1:13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spans="1:13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spans="1:13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spans="1:13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spans="1:13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spans="1:13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spans="1:13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spans="1:13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spans="1:13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spans="1:13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spans="1:13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spans="1:13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spans="1:13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spans="1:13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spans="1:13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spans="1:13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spans="1:13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spans="1:13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spans="1:13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spans="1:13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spans="1:13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spans="1:13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spans="1:13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spans="1:13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spans="1:13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spans="1:13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spans="1:13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spans="1:13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spans="1:13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spans="1:13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spans="1:13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spans="1:13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spans="1:13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spans="1:13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spans="1:13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spans="1:13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spans="1:13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spans="1:13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spans="1:13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spans="1:13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spans="1:13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spans="1:13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spans="1:13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spans="1:13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spans="1:13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spans="1:13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spans="1:13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spans="1:13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spans="1:13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spans="1:13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spans="1:13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spans="1:13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spans="1:13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spans="1:13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spans="1:13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spans="1:13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spans="1:13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spans="1:13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spans="1:13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spans="1:13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spans="1:13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spans="1:13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spans="1:13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spans="1:13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spans="1:13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spans="1:13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spans="1:13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spans="1:13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spans="1:13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spans="1:13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spans="1:13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spans="1:13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spans="1:13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spans="1:13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spans="1:13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spans="1:13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spans="1:13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spans="1:13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spans="1:13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spans="1:13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spans="1:13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spans="1:13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spans="1:13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spans="1:13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spans="1:13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spans="1:13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spans="1:13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spans="1:13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spans="1:13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spans="1:13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spans="1:13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spans="1:13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spans="1:13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spans="1:13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spans="1:13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spans="1:13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spans="1:13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spans="1:13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spans="1:13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spans="1:13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spans="1:13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spans="1:13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spans="1:13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spans="1:13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spans="1:13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spans="1:13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spans="1:13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spans="1:13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spans="1:13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spans="1:13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spans="1:13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spans="1:13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spans="1:13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spans="1:13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spans="1:13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spans="1:13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spans="1:13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spans="1:13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spans="1:13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spans="1:13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spans="1:13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spans="1:13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spans="1:13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spans="1:13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spans="1:13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spans="1:13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spans="1:13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spans="1:13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spans="1:13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spans="1:13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spans="1:13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spans="1:13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spans="1:13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spans="1:13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spans="1:13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spans="1:13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spans="1:13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spans="1:13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spans="1:13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spans="1:13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spans="1:13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spans="1:13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spans="1:13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spans="1:13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spans="1:13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spans="1:13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spans="1:13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spans="1:13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spans="1:13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spans="1:13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spans="1:13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spans="1:13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spans="1:13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spans="1:13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spans="1:13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spans="1:13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spans="1:13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spans="1:13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spans="1:13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spans="1:13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spans="1:13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spans="1:13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spans="1:13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spans="1:13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spans="1:13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spans="1:13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spans="1:13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spans="1:13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spans="1:13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spans="1:13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spans="1:13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spans="1:13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spans="1:13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spans="1:13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spans="1:13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spans="1:13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spans="1:13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spans="1:13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spans="1:13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spans="1:13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spans="1:13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spans="1:13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spans="1:13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spans="1:13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spans="1:13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spans="1:13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spans="1:13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spans="1:13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spans="1:13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spans="1:13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spans="1:13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spans="1:13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spans="1:13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spans="1:13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spans="1:13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spans="1:13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spans="1:13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spans="1:13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spans="1:13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spans="1:13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spans="1:13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spans="1:13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spans="1:13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spans="1:13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spans="1:13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spans="1:13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spans="1:13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spans="1:13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spans="1:13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spans="1:13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spans="1:13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spans="1:13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spans="1:13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spans="1:13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spans="1:13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spans="1:13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spans="1:13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spans="1:13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spans="1:13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spans="1:13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spans="1:13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spans="1:13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spans="1:13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spans="1:13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spans="1:13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spans="1:13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spans="1:13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spans="1:13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spans="1:13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spans="1:13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spans="1:13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spans="1:13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spans="1:13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spans="1:13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spans="1:13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spans="1:13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spans="1:13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spans="1:13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spans="1:13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spans="1:13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spans="1:13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spans="1:13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spans="1:13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spans="1:13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spans="1:13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spans="1:13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spans="1:13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spans="1:13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spans="1:13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spans="1:13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spans="1:13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spans="1:13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spans="1:13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spans="1:13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spans="1:13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spans="1:13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spans="1:13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spans="1:13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spans="1:13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spans="1:13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spans="1:13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spans="1:13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spans="1:13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spans="1:13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spans="1:13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spans="1:13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spans="1:13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spans="1:13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spans="1:13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spans="1:13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spans="1:13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spans="1:13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spans="1:13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spans="1:13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spans="1:13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spans="1:13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spans="1:13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spans="1:13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spans="1:13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spans="1:13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spans="1:13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spans="1:13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spans="1:13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spans="1:13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</sheetData>
  <mergeCells count="24">
    <mergeCell ref="C2:C4"/>
    <mergeCell ref="S2:V2"/>
    <mergeCell ref="X2:Y3"/>
    <mergeCell ref="Z2:AE2"/>
    <mergeCell ref="D2:E3"/>
    <mergeCell ref="F2:I2"/>
    <mergeCell ref="J2:J4"/>
    <mergeCell ref="K2:L2"/>
    <mergeCell ref="M2:N3"/>
    <mergeCell ref="S3:S4"/>
    <mergeCell ref="T3:T4"/>
    <mergeCell ref="U3:U4"/>
    <mergeCell ref="V3:V4"/>
    <mergeCell ref="Z3:AB3"/>
    <mergeCell ref="AC3:AE3"/>
    <mergeCell ref="D10:E10"/>
    <mergeCell ref="K3:L3"/>
    <mergeCell ref="D5:E5"/>
    <mergeCell ref="D6:E6"/>
    <mergeCell ref="D7:E7"/>
    <mergeCell ref="D8:E8"/>
    <mergeCell ref="D9:E9"/>
    <mergeCell ref="F3:G3"/>
    <mergeCell ref="H3:I3"/>
  </mergeCells>
  <pageMargins left="0.75" right="0.75" top="1" bottom="1" header="0.5" footer="0.5"/>
  <pageSetup paperSize="9" scale="8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BC26-EE80-4F47-B189-61EF9AADF01C}">
  <dimension ref="A1:D4"/>
  <sheetViews>
    <sheetView workbookViewId="0">
      <selection activeCell="G21" sqref="G21"/>
    </sheetView>
  </sheetViews>
  <sheetFormatPr defaultRowHeight="14" x14ac:dyDescent="0.3"/>
  <sheetData>
    <row r="1" spans="1:4" x14ac:dyDescent="0.3">
      <c r="A1" s="587" t="s">
        <v>40</v>
      </c>
      <c r="B1" s="587" t="s">
        <v>41</v>
      </c>
      <c r="C1" s="587" t="s">
        <v>42</v>
      </c>
      <c r="D1" s="587" t="s">
        <v>43</v>
      </c>
    </row>
    <row r="2" spans="1:4" x14ac:dyDescent="0.3">
      <c r="A2" s="587" t="s">
        <v>6</v>
      </c>
      <c r="B2" s="587" t="s">
        <v>70</v>
      </c>
      <c r="C2" s="587">
        <f>21*70</f>
        <v>1470</v>
      </c>
      <c r="D2" s="587">
        <v>7</v>
      </c>
    </row>
    <row r="3" spans="1:4" x14ac:dyDescent="0.3">
      <c r="A3" s="587" t="s">
        <v>52</v>
      </c>
      <c r="B3" s="587" t="s">
        <v>70</v>
      </c>
      <c r="C3" s="587">
        <f>3.5*70</f>
        <v>245</v>
      </c>
      <c r="D3" s="587">
        <v>2</v>
      </c>
    </row>
    <row r="4" spans="1:4" x14ac:dyDescent="0.3">
      <c r="A4" s="587" t="s">
        <v>45</v>
      </c>
      <c r="B4" s="587" t="s">
        <v>70</v>
      </c>
      <c r="C4" s="587">
        <f>16.4*70</f>
        <v>1148</v>
      </c>
      <c r="D4" s="58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37889" r:id="rId4" name="_isisStructCtl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6350</xdr:colOff>
                <xdr:row>0</xdr:row>
                <xdr:rowOff>6350</xdr:rowOff>
              </to>
            </anchor>
          </controlPr>
        </control>
      </mc:Choice>
      <mc:Fallback>
        <control shapeId="37889" r:id="rId4" name="_isisStructCtl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F7F-27CA-4CEE-B860-7BBB34E4F28F}">
  <dimension ref="A1:F15"/>
  <sheetViews>
    <sheetView workbookViewId="0">
      <selection activeCell="D7" sqref="D7"/>
    </sheetView>
  </sheetViews>
  <sheetFormatPr defaultRowHeight="14" x14ac:dyDescent="0.3"/>
  <cols>
    <col min="3" max="3" width="8.6640625" customWidth="1"/>
    <col min="4" max="4" width="11.75" bestFit="1" customWidth="1"/>
  </cols>
  <sheetData>
    <row r="1" spans="1:6" ht="14" customHeight="1" x14ac:dyDescent="0.3">
      <c r="A1" s="587" t="s">
        <v>75</v>
      </c>
      <c r="B1" s="587" t="s">
        <v>453</v>
      </c>
      <c r="C1" s="587" t="s">
        <v>80</v>
      </c>
      <c r="D1" s="587" t="s">
        <v>367</v>
      </c>
      <c r="E1" s="587" t="s">
        <v>368</v>
      </c>
      <c r="F1" s="587" t="s">
        <v>43</v>
      </c>
    </row>
    <row r="2" spans="1:6" x14ac:dyDescent="0.3">
      <c r="A2" s="587">
        <v>1</v>
      </c>
      <c r="B2" s="587" t="s">
        <v>59</v>
      </c>
      <c r="C2" s="587" t="s">
        <v>81</v>
      </c>
      <c r="D2" s="587">
        <f>0.0183/60</f>
        <v>3.0499999999999999E-4</v>
      </c>
      <c r="E2" s="587">
        <f>0.693/(D2)</f>
        <v>2272.1311475409834</v>
      </c>
      <c r="F2" s="587" t="s">
        <v>369</v>
      </c>
    </row>
    <row r="3" spans="1:6" ht="14" customHeight="1" x14ac:dyDescent="0.3">
      <c r="A3" s="587">
        <v>2</v>
      </c>
      <c r="B3" s="587" t="s">
        <v>59</v>
      </c>
      <c r="C3" s="587" t="s">
        <v>82</v>
      </c>
      <c r="D3" s="587">
        <f>0.0301/60</f>
        <v>5.0166666666666665E-4</v>
      </c>
      <c r="E3" s="587">
        <f t="shared" ref="E3:E8" si="0">0.693/(D3)</f>
        <v>1381.3953488372092</v>
      </c>
      <c r="F3" s="587" t="s">
        <v>370</v>
      </c>
    </row>
    <row r="4" spans="1:6" x14ac:dyDescent="0.3">
      <c r="A4" s="587">
        <v>3</v>
      </c>
      <c r="B4" s="587" t="s">
        <v>59</v>
      </c>
      <c r="C4" s="587" t="s">
        <v>83</v>
      </c>
      <c r="D4" s="587">
        <f>0.0067/60</f>
        <v>1.1166666666666667E-4</v>
      </c>
      <c r="E4" s="587">
        <f t="shared" si="0"/>
        <v>6205.9701492537306</v>
      </c>
      <c r="F4" s="587" t="s">
        <v>371</v>
      </c>
    </row>
    <row r="5" spans="1:6" ht="14" customHeight="1" x14ac:dyDescent="0.3">
      <c r="A5" s="587">
        <v>4</v>
      </c>
      <c r="B5" s="587" t="s">
        <v>59</v>
      </c>
      <c r="C5" s="587" t="s">
        <v>84</v>
      </c>
      <c r="D5" s="587">
        <f>0.0267/60</f>
        <v>4.4500000000000003E-4</v>
      </c>
      <c r="E5" s="587">
        <f t="shared" si="0"/>
        <v>1557.3033707865166</v>
      </c>
      <c r="F5" s="587" t="s">
        <v>372</v>
      </c>
    </row>
    <row r="6" spans="1:6" x14ac:dyDescent="0.3">
      <c r="A6" s="587">
        <v>5</v>
      </c>
      <c r="B6" s="587" t="s">
        <v>59</v>
      </c>
      <c r="C6" s="587" t="s">
        <v>85</v>
      </c>
      <c r="D6" s="587">
        <f>0.0099/60</f>
        <v>1.6500000000000003E-4</v>
      </c>
      <c r="E6" s="587">
        <f t="shared" si="0"/>
        <v>4199.9999999999991</v>
      </c>
      <c r="F6" s="587" t="s">
        <v>373</v>
      </c>
    </row>
    <row r="7" spans="1:6" ht="14" customHeight="1" x14ac:dyDescent="0.3">
      <c r="A7" s="587">
        <v>6</v>
      </c>
      <c r="B7" s="587" t="s">
        <v>59</v>
      </c>
      <c r="C7" s="587" t="s">
        <v>86</v>
      </c>
      <c r="D7" s="587">
        <f>0.0193/60</f>
        <v>3.2166666666666666E-4</v>
      </c>
      <c r="E7" s="587">
        <f t="shared" si="0"/>
        <v>2154.4041450777199</v>
      </c>
      <c r="F7" s="587" t="s">
        <v>374</v>
      </c>
    </row>
    <row r="8" spans="1:6" x14ac:dyDescent="0.3">
      <c r="A8" s="587">
        <v>7</v>
      </c>
      <c r="B8" s="587" t="s">
        <v>59</v>
      </c>
      <c r="C8" s="587" t="s">
        <v>261</v>
      </c>
      <c r="D8" s="587">
        <f>0.0193/60</f>
        <v>3.2166666666666666E-4</v>
      </c>
      <c r="E8" s="587">
        <f t="shared" si="0"/>
        <v>2154.4041450777199</v>
      </c>
      <c r="F8" s="587" t="s">
        <v>375</v>
      </c>
    </row>
    <row r="9" spans="1:6" ht="14" customHeight="1" x14ac:dyDescent="0.3">
      <c r="A9" s="587">
        <v>8</v>
      </c>
      <c r="B9" s="587" t="s">
        <v>60</v>
      </c>
      <c r="C9" s="587" t="s">
        <v>81</v>
      </c>
      <c r="D9" s="587"/>
      <c r="E9" s="587"/>
      <c r="F9" s="587"/>
    </row>
    <row r="10" spans="1:6" x14ac:dyDescent="0.3">
      <c r="A10" s="587">
        <v>9</v>
      </c>
      <c r="B10" s="587" t="s">
        <v>60</v>
      </c>
      <c r="C10" s="587" t="s">
        <v>82</v>
      </c>
      <c r="D10" s="587"/>
      <c r="E10" s="587"/>
      <c r="F10" s="587"/>
    </row>
    <row r="11" spans="1:6" ht="14" customHeight="1" x14ac:dyDescent="0.3">
      <c r="A11" s="587">
        <v>10</v>
      </c>
      <c r="B11" s="587" t="s">
        <v>60</v>
      </c>
      <c r="C11" s="587" t="s">
        <v>83</v>
      </c>
      <c r="D11" s="587"/>
      <c r="E11" s="587"/>
      <c r="F11" s="587"/>
    </row>
    <row r="12" spans="1:6" x14ac:dyDescent="0.3">
      <c r="A12" s="587">
        <v>11</v>
      </c>
      <c r="B12" s="587" t="s">
        <v>60</v>
      </c>
      <c r="C12" s="587" t="s">
        <v>84</v>
      </c>
      <c r="D12" s="587"/>
      <c r="E12" s="587"/>
      <c r="F12" s="587"/>
    </row>
    <row r="13" spans="1:6" ht="14" customHeight="1" x14ac:dyDescent="0.3">
      <c r="A13" s="587">
        <v>12</v>
      </c>
      <c r="B13" s="587" t="s">
        <v>60</v>
      </c>
      <c r="C13" s="587" t="s">
        <v>85</v>
      </c>
      <c r="D13" s="587"/>
      <c r="E13" s="587"/>
      <c r="F13" s="587"/>
    </row>
    <row r="14" spans="1:6" x14ac:dyDescent="0.3">
      <c r="A14" s="587">
        <v>13</v>
      </c>
      <c r="B14" s="587" t="s">
        <v>60</v>
      </c>
      <c r="C14" s="587" t="s">
        <v>86</v>
      </c>
      <c r="D14" s="587">
        <f>0.03/60</f>
        <v>5.0000000000000001E-4</v>
      </c>
      <c r="E14" s="587">
        <f>0.693/D14</f>
        <v>1385.9999999999998</v>
      </c>
      <c r="F14" s="587">
        <v>6</v>
      </c>
    </row>
    <row r="15" spans="1:6" ht="14" customHeight="1" x14ac:dyDescent="0.3">
      <c r="A15" s="587">
        <v>14</v>
      </c>
      <c r="B15" s="587" t="s">
        <v>60</v>
      </c>
      <c r="C15" s="587" t="s">
        <v>261</v>
      </c>
      <c r="D15" s="587">
        <f>0.03/60</f>
        <v>5.0000000000000001E-4</v>
      </c>
      <c r="E15" s="587">
        <f>0.693/D15</f>
        <v>1385.9999999999998</v>
      </c>
      <c r="F15" s="58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34"/>
  <sheetViews>
    <sheetView workbookViewId="0">
      <selection activeCell="C12" sqref="C12"/>
    </sheetView>
  </sheetViews>
  <sheetFormatPr defaultRowHeight="14" x14ac:dyDescent="0.3"/>
  <cols>
    <col min="1" max="1" width="16.58203125" customWidth="1"/>
    <col min="2" max="2" width="12.9140625" customWidth="1"/>
    <col min="3" max="3" width="24.9140625" style="48" customWidth="1"/>
    <col min="4" max="7" width="8.25" customWidth="1"/>
    <col min="8" max="8" width="14.75" customWidth="1"/>
    <col min="12" max="12" width="14.5" customWidth="1"/>
  </cols>
  <sheetData>
    <row r="1" spans="1:8" ht="18" customHeight="1" x14ac:dyDescent="0.45">
      <c r="A1" s="57" t="s">
        <v>29</v>
      </c>
      <c r="B1" s="54" t="s">
        <v>9</v>
      </c>
      <c r="C1" s="54" t="s">
        <v>451</v>
      </c>
      <c r="D1" s="54" t="s">
        <v>360</v>
      </c>
      <c r="E1" s="54" t="s">
        <v>359</v>
      </c>
      <c r="F1" s="54" t="s">
        <v>240</v>
      </c>
      <c r="G1" s="55" t="s">
        <v>22</v>
      </c>
      <c r="H1" s="56" t="s">
        <v>43</v>
      </c>
    </row>
    <row r="2" spans="1:8" ht="15" customHeight="1" x14ac:dyDescent="0.3">
      <c r="A2" s="86" t="s">
        <v>18</v>
      </c>
      <c r="B2" s="90" t="s">
        <v>91</v>
      </c>
      <c r="C2" s="96" t="s">
        <v>270</v>
      </c>
      <c r="D2" s="52">
        <v>1</v>
      </c>
      <c r="E2" s="88">
        <v>0.98</v>
      </c>
      <c r="F2" s="52">
        <v>0.8</v>
      </c>
      <c r="G2" s="87">
        <v>0.8</v>
      </c>
      <c r="H2" s="89">
        <v>6</v>
      </c>
    </row>
    <row r="3" spans="1:8" ht="15" customHeight="1" x14ac:dyDescent="0.3">
      <c r="A3" s="58" t="s">
        <v>10</v>
      </c>
      <c r="B3" s="91" t="s">
        <v>91</v>
      </c>
      <c r="C3" s="97" t="s">
        <v>271</v>
      </c>
      <c r="D3" s="52"/>
      <c r="E3" s="52">
        <v>0.21</v>
      </c>
      <c r="F3" s="52">
        <v>0.99</v>
      </c>
      <c r="G3" s="51">
        <v>0.99</v>
      </c>
      <c r="H3" s="53">
        <v>6</v>
      </c>
    </row>
    <row r="4" spans="1:8" ht="15" customHeight="1" x14ac:dyDescent="0.3">
      <c r="A4" s="58" t="s">
        <v>12</v>
      </c>
      <c r="B4" s="91" t="s">
        <v>91</v>
      </c>
      <c r="C4" s="97" t="s">
        <v>272</v>
      </c>
      <c r="D4" s="52"/>
      <c r="E4" s="52">
        <v>0.39</v>
      </c>
      <c r="F4" s="52">
        <v>0.99</v>
      </c>
      <c r="G4" s="51">
        <v>0.71</v>
      </c>
      <c r="H4" s="53">
        <v>6</v>
      </c>
    </row>
    <row r="5" spans="1:8" ht="15" customHeight="1" x14ac:dyDescent="0.3">
      <c r="A5" s="58" t="s">
        <v>13</v>
      </c>
      <c r="B5" s="91" t="s">
        <v>91</v>
      </c>
      <c r="C5" s="97" t="s">
        <v>273</v>
      </c>
      <c r="D5" s="52"/>
      <c r="E5" s="52">
        <v>0.45</v>
      </c>
      <c r="F5" s="52">
        <v>0.99</v>
      </c>
      <c r="G5" s="51">
        <v>0.81</v>
      </c>
      <c r="H5" s="53">
        <v>6</v>
      </c>
    </row>
    <row r="6" spans="1:8" ht="15" customHeight="1" x14ac:dyDescent="0.3">
      <c r="A6" s="58" t="s">
        <v>2</v>
      </c>
      <c r="B6" s="91" t="s">
        <v>91</v>
      </c>
      <c r="C6" s="97" t="s">
        <v>274</v>
      </c>
      <c r="D6" s="52">
        <v>1</v>
      </c>
      <c r="E6" s="52">
        <v>0.56999999999999995</v>
      </c>
      <c r="F6" s="52">
        <v>0.94</v>
      </c>
      <c r="G6" s="51">
        <v>1</v>
      </c>
      <c r="H6" s="53">
        <v>6</v>
      </c>
    </row>
    <row r="7" spans="1:8" ht="15" customHeight="1" x14ac:dyDescent="0.3">
      <c r="A7" s="58" t="s">
        <v>16</v>
      </c>
      <c r="B7" s="91" t="s">
        <v>91</v>
      </c>
      <c r="C7" s="97" t="s">
        <v>275</v>
      </c>
      <c r="D7" s="52">
        <v>1</v>
      </c>
      <c r="E7" s="52">
        <v>0.78</v>
      </c>
      <c r="F7" s="52">
        <v>1</v>
      </c>
      <c r="G7" s="51">
        <v>0.71</v>
      </c>
      <c r="H7" s="53">
        <v>6</v>
      </c>
    </row>
    <row r="8" spans="1:8" ht="15" customHeight="1" x14ac:dyDescent="0.3">
      <c r="A8" s="58" t="s">
        <v>17</v>
      </c>
      <c r="B8" s="91" t="s">
        <v>91</v>
      </c>
      <c r="C8" s="97" t="s">
        <v>276</v>
      </c>
      <c r="D8" s="52">
        <v>1</v>
      </c>
      <c r="E8" s="52">
        <v>0.9</v>
      </c>
      <c r="F8" s="52">
        <v>0.8</v>
      </c>
      <c r="G8" s="51">
        <v>0.76</v>
      </c>
      <c r="H8" s="53">
        <v>6</v>
      </c>
    </row>
    <row r="9" spans="1:8" ht="15" customHeight="1" x14ac:dyDescent="0.3">
      <c r="A9" s="58" t="s">
        <v>11</v>
      </c>
      <c r="B9" s="91" t="s">
        <v>91</v>
      </c>
      <c r="C9" s="97" t="s">
        <v>277</v>
      </c>
      <c r="D9" s="52"/>
      <c r="E9" s="52">
        <v>0.38</v>
      </c>
      <c r="F9" s="52">
        <v>0.87</v>
      </c>
      <c r="G9" s="51">
        <v>0.79</v>
      </c>
      <c r="H9" s="53">
        <v>10</v>
      </c>
    </row>
    <row r="10" spans="1:8" ht="15" customHeight="1" x14ac:dyDescent="0.3">
      <c r="A10" s="58" t="s">
        <v>15</v>
      </c>
      <c r="B10" s="91" t="s">
        <v>91</v>
      </c>
      <c r="C10" s="97" t="s">
        <v>278</v>
      </c>
      <c r="D10" s="52">
        <v>1</v>
      </c>
      <c r="E10" s="52">
        <v>0.66</v>
      </c>
      <c r="F10" s="52">
        <v>0.93</v>
      </c>
      <c r="G10" s="51">
        <v>0.99</v>
      </c>
      <c r="H10" s="53">
        <v>6</v>
      </c>
    </row>
    <row r="11" spans="1:8" ht="15.75" customHeight="1" x14ac:dyDescent="0.3">
      <c r="A11" s="58" t="s">
        <v>21</v>
      </c>
      <c r="B11" s="91" t="s">
        <v>91</v>
      </c>
      <c r="C11" s="97" t="s">
        <v>279</v>
      </c>
      <c r="D11" s="52"/>
      <c r="E11" s="52">
        <v>0.75</v>
      </c>
      <c r="F11" s="52">
        <v>0.99</v>
      </c>
      <c r="G11" s="51">
        <v>0.35</v>
      </c>
      <c r="H11" s="53">
        <v>10</v>
      </c>
    </row>
    <row r="12" spans="1:8" ht="15" customHeight="1" x14ac:dyDescent="0.3">
      <c r="A12" s="58" t="s">
        <v>14</v>
      </c>
      <c r="B12" s="91" t="s">
        <v>91</v>
      </c>
      <c r="C12" s="97" t="s">
        <v>280</v>
      </c>
      <c r="D12" s="52">
        <v>0.82</v>
      </c>
      <c r="E12" s="52">
        <v>0.75</v>
      </c>
      <c r="F12" s="52">
        <v>1</v>
      </c>
      <c r="G12" s="51">
        <v>0.92</v>
      </c>
      <c r="H12" s="53">
        <v>6</v>
      </c>
    </row>
    <row r="13" spans="1:8" ht="15" customHeight="1" x14ac:dyDescent="0.3">
      <c r="A13" s="58" t="s">
        <v>19</v>
      </c>
      <c r="B13" s="91" t="s">
        <v>91</v>
      </c>
      <c r="C13" s="97" t="s">
        <v>281</v>
      </c>
      <c r="D13" s="52">
        <v>1</v>
      </c>
      <c r="E13" s="52">
        <v>0.67</v>
      </c>
      <c r="F13" s="52"/>
      <c r="G13" s="51">
        <v>0.6</v>
      </c>
      <c r="H13" s="53">
        <v>10</v>
      </c>
    </row>
    <row r="14" spans="1:8" ht="15" customHeight="1" x14ac:dyDescent="0.3">
      <c r="A14" s="58" t="s">
        <v>1</v>
      </c>
      <c r="B14" s="91" t="s">
        <v>8</v>
      </c>
      <c r="C14" s="97" t="s">
        <v>282</v>
      </c>
      <c r="D14" s="52">
        <v>1</v>
      </c>
      <c r="E14" s="52">
        <v>1</v>
      </c>
      <c r="F14" s="52">
        <v>0.98</v>
      </c>
      <c r="G14" s="52">
        <v>0.9</v>
      </c>
      <c r="H14" s="53">
        <v>5</v>
      </c>
    </row>
    <row r="15" spans="1:8" ht="15" customHeight="1" x14ac:dyDescent="0.3">
      <c r="A15" s="58" t="s">
        <v>229</v>
      </c>
      <c r="B15" s="91" t="s">
        <v>8</v>
      </c>
      <c r="C15" s="97" t="s">
        <v>283</v>
      </c>
      <c r="D15" s="52"/>
      <c r="E15" s="52">
        <v>1</v>
      </c>
      <c r="F15" s="52"/>
      <c r="G15" s="52">
        <v>0.85</v>
      </c>
      <c r="H15" s="53">
        <v>5</v>
      </c>
    </row>
    <row r="16" spans="1:8" ht="17.25" customHeight="1" x14ac:dyDescent="0.3">
      <c r="A16" s="58" t="s">
        <v>23</v>
      </c>
      <c r="B16" s="91" t="s">
        <v>8</v>
      </c>
      <c r="C16" s="97" t="s">
        <v>284</v>
      </c>
      <c r="D16" s="52">
        <v>1</v>
      </c>
      <c r="E16" s="321">
        <v>1</v>
      </c>
      <c r="F16" s="52">
        <v>0.9</v>
      </c>
      <c r="G16" s="52">
        <v>0.89</v>
      </c>
      <c r="H16" s="53">
        <v>5</v>
      </c>
    </row>
    <row r="17" spans="1:13" ht="15" customHeight="1" x14ac:dyDescent="0.3">
      <c r="A17" s="58" t="s">
        <v>24</v>
      </c>
      <c r="B17" s="91" t="s">
        <v>8</v>
      </c>
      <c r="C17" s="97" t="s">
        <v>285</v>
      </c>
      <c r="D17" s="52">
        <v>1</v>
      </c>
      <c r="E17" s="321">
        <v>1</v>
      </c>
      <c r="F17" s="52">
        <v>0.9</v>
      </c>
      <c r="G17" s="52">
        <v>0.8</v>
      </c>
      <c r="H17" s="53">
        <v>5</v>
      </c>
    </row>
    <row r="18" spans="1:13" ht="15" customHeight="1" x14ac:dyDescent="0.3">
      <c r="A18" s="58" t="s">
        <v>25</v>
      </c>
      <c r="B18" s="91" t="s">
        <v>8</v>
      </c>
      <c r="C18" s="97" t="s">
        <v>286</v>
      </c>
      <c r="D18" s="52"/>
      <c r="E18" s="321">
        <v>1</v>
      </c>
      <c r="F18" s="52"/>
      <c r="G18" s="52">
        <v>0.86</v>
      </c>
      <c r="H18" s="53">
        <v>5</v>
      </c>
      <c r="M18" s="48"/>
    </row>
    <row r="19" spans="1:13" ht="15" customHeight="1" x14ac:dyDescent="0.3">
      <c r="A19" s="58" t="s">
        <v>26</v>
      </c>
      <c r="B19" s="91" t="s">
        <v>8</v>
      </c>
      <c r="C19" s="97" t="s">
        <v>287</v>
      </c>
      <c r="D19" s="52"/>
      <c r="E19" s="321">
        <v>1</v>
      </c>
      <c r="F19" s="52"/>
      <c r="G19" s="52">
        <v>0.87</v>
      </c>
      <c r="H19" s="53">
        <v>5</v>
      </c>
    </row>
    <row r="20" spans="1:13" ht="15" customHeight="1" x14ac:dyDescent="0.3">
      <c r="A20" s="58" t="s">
        <v>27</v>
      </c>
      <c r="B20" s="91" t="s">
        <v>8</v>
      </c>
      <c r="C20" s="97" t="s">
        <v>288</v>
      </c>
      <c r="D20" s="52"/>
      <c r="E20" s="321">
        <v>1</v>
      </c>
      <c r="F20" s="52"/>
      <c r="G20" s="52">
        <v>0.89</v>
      </c>
      <c r="H20" s="53">
        <v>5</v>
      </c>
    </row>
    <row r="21" spans="1:13" ht="15" customHeight="1" x14ac:dyDescent="0.3">
      <c r="A21" s="58" t="s">
        <v>228</v>
      </c>
      <c r="B21" s="16" t="s">
        <v>8</v>
      </c>
      <c r="C21" s="97" t="s">
        <v>289</v>
      </c>
      <c r="D21" s="52"/>
      <c r="E21" s="321">
        <v>1</v>
      </c>
      <c r="F21" s="52"/>
      <c r="G21" s="52"/>
      <c r="H21" s="53"/>
    </row>
    <row r="22" spans="1:13" ht="15" customHeight="1" x14ac:dyDescent="0.3">
      <c r="A22" s="58" t="s">
        <v>230</v>
      </c>
      <c r="B22" s="16" t="s">
        <v>8</v>
      </c>
      <c r="C22" s="97" t="s">
        <v>290</v>
      </c>
      <c r="D22" s="52"/>
      <c r="E22" s="321">
        <v>1</v>
      </c>
      <c r="F22" s="52"/>
      <c r="G22" s="52"/>
      <c r="H22" s="53"/>
    </row>
    <row r="23" spans="1:13" ht="15" customHeight="1" x14ac:dyDescent="0.3">
      <c r="A23" s="58" t="s">
        <v>231</v>
      </c>
      <c r="B23" s="16" t="s">
        <v>8</v>
      </c>
      <c r="C23" s="97" t="s">
        <v>291</v>
      </c>
      <c r="D23" s="52"/>
      <c r="E23" s="321">
        <v>1</v>
      </c>
      <c r="F23" s="52"/>
      <c r="G23" s="52"/>
      <c r="H23" s="53"/>
    </row>
    <row r="24" spans="1:13" ht="15" customHeight="1" x14ac:dyDescent="0.3">
      <c r="A24" s="58" t="s">
        <v>220</v>
      </c>
      <c r="B24" s="16" t="s">
        <v>221</v>
      </c>
      <c r="C24" s="97" t="s">
        <v>292</v>
      </c>
      <c r="D24" s="52"/>
      <c r="E24" s="321">
        <v>1</v>
      </c>
      <c r="F24" s="52"/>
      <c r="G24" s="52"/>
      <c r="H24" s="53"/>
    </row>
    <row r="25" spans="1:13" ht="15" customHeight="1" x14ac:dyDescent="0.3">
      <c r="A25" s="58" t="s">
        <v>222</v>
      </c>
      <c r="B25" s="16" t="s">
        <v>221</v>
      </c>
      <c r="C25" s="97" t="s">
        <v>293</v>
      </c>
      <c r="D25" s="52"/>
      <c r="E25" s="321">
        <v>1</v>
      </c>
      <c r="F25" s="52"/>
      <c r="G25" s="52"/>
      <c r="H25" s="53"/>
    </row>
    <row r="26" spans="1:13" x14ac:dyDescent="0.3">
      <c r="A26" s="94" t="s">
        <v>254</v>
      </c>
      <c r="B26" s="16" t="s">
        <v>221</v>
      </c>
      <c r="C26" s="97" t="s">
        <v>294</v>
      </c>
      <c r="D26" s="52"/>
      <c r="E26" s="321">
        <v>1</v>
      </c>
      <c r="F26" s="52"/>
      <c r="G26" s="52"/>
      <c r="H26" s="53"/>
    </row>
    <row r="27" spans="1:13" ht="15" customHeight="1" x14ac:dyDescent="0.3">
      <c r="A27" s="94" t="s">
        <v>255</v>
      </c>
      <c r="B27" s="16" t="s">
        <v>221</v>
      </c>
      <c r="C27" s="97" t="s">
        <v>295</v>
      </c>
      <c r="D27" s="52"/>
      <c r="E27" s="321">
        <v>1</v>
      </c>
      <c r="F27" s="52"/>
      <c r="G27" s="52"/>
      <c r="H27" s="53"/>
    </row>
    <row r="28" spans="1:13" ht="15" customHeight="1" x14ac:dyDescent="0.3">
      <c r="A28" s="94" t="s">
        <v>256</v>
      </c>
      <c r="B28" s="16" t="s">
        <v>223</v>
      </c>
      <c r="C28" s="97" t="s">
        <v>296</v>
      </c>
      <c r="D28" s="52"/>
      <c r="E28" s="52"/>
      <c r="F28" s="52"/>
      <c r="G28" s="52"/>
      <c r="H28" s="53"/>
    </row>
    <row r="29" spans="1:13" ht="15" customHeight="1" x14ac:dyDescent="0.3">
      <c r="A29" s="58" t="s">
        <v>232</v>
      </c>
      <c r="B29" s="16" t="s">
        <v>233</v>
      </c>
      <c r="C29" s="97" t="s">
        <v>297</v>
      </c>
      <c r="D29" s="52"/>
      <c r="E29" s="52"/>
      <c r="F29" s="52"/>
      <c r="G29" s="52"/>
      <c r="H29" s="53"/>
    </row>
    <row r="30" spans="1:13" ht="15" customHeight="1" x14ac:dyDescent="0.3">
      <c r="A30" s="94" t="s">
        <v>257</v>
      </c>
      <c r="B30" s="16" t="s">
        <v>224</v>
      </c>
      <c r="C30" s="97" t="s">
        <v>298</v>
      </c>
      <c r="D30" s="52"/>
      <c r="E30" s="52"/>
      <c r="F30" s="52">
        <v>0.2</v>
      </c>
      <c r="G30" s="52"/>
      <c r="H30" s="53"/>
    </row>
    <row r="31" spans="1:13" ht="15" customHeight="1" x14ac:dyDescent="0.3">
      <c r="A31" s="58" t="s">
        <v>225</v>
      </c>
      <c r="B31" s="16" t="s">
        <v>224</v>
      </c>
      <c r="C31" s="97" t="s">
        <v>299</v>
      </c>
      <c r="D31" s="52"/>
      <c r="E31" s="52"/>
      <c r="F31" s="52"/>
      <c r="G31" s="52"/>
      <c r="H31" s="53"/>
    </row>
    <row r="32" spans="1:13" ht="15" customHeight="1" x14ac:dyDescent="0.3">
      <c r="A32" s="58" t="s">
        <v>226</v>
      </c>
      <c r="B32" s="16" t="s">
        <v>227</v>
      </c>
      <c r="C32" s="97" t="s">
        <v>300</v>
      </c>
      <c r="D32" s="52"/>
      <c r="E32" s="52"/>
      <c r="F32" s="52"/>
      <c r="G32" s="52"/>
      <c r="H32" s="53"/>
    </row>
    <row r="33" spans="1:8" ht="15" customHeight="1" x14ac:dyDescent="0.3">
      <c r="A33" s="94" t="s">
        <v>252</v>
      </c>
      <c r="B33" s="16" t="s">
        <v>227</v>
      </c>
      <c r="C33" s="97" t="s">
        <v>301</v>
      </c>
      <c r="D33" s="52"/>
      <c r="E33" s="52"/>
      <c r="F33" s="52">
        <v>0.92</v>
      </c>
      <c r="G33" s="52">
        <v>0.87</v>
      </c>
      <c r="H33" s="53"/>
    </row>
    <row r="34" spans="1:8" ht="15" customHeight="1" x14ac:dyDescent="0.3">
      <c r="A34" s="95" t="s">
        <v>253</v>
      </c>
      <c r="B34" s="24" t="s">
        <v>227</v>
      </c>
      <c r="C34" s="98" t="s">
        <v>302</v>
      </c>
      <c r="D34" s="92"/>
      <c r="E34" s="92"/>
      <c r="F34" s="92"/>
      <c r="G34" s="92">
        <v>0.8</v>
      </c>
      <c r="H34" s="93" t="s">
        <v>235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R28"/>
  <sheetViews>
    <sheetView workbookViewId="0">
      <selection activeCell="K2" sqref="K2"/>
    </sheetView>
  </sheetViews>
  <sheetFormatPr defaultColWidth="9" defaultRowHeight="12.5" x14ac:dyDescent="0.25"/>
  <cols>
    <col min="1" max="1" width="11.75" style="2" customWidth="1"/>
    <col min="2" max="2" width="21.9140625" style="49" customWidth="1"/>
    <col min="3" max="3" width="24" style="49" customWidth="1"/>
    <col min="4" max="4" width="5.33203125" style="49" customWidth="1"/>
    <col min="5" max="5" width="5.25" style="49" customWidth="1"/>
    <col min="6" max="6" width="5.08203125" style="49" customWidth="1"/>
    <col min="7" max="7" width="4.58203125" style="49" customWidth="1"/>
    <col min="8" max="8" width="6" style="49" customWidth="1"/>
    <col min="9" max="9" width="4.83203125" style="49" customWidth="1"/>
    <col min="10" max="11" width="3.75" style="49" customWidth="1"/>
    <col min="12" max="13" width="8" style="49" customWidth="1"/>
    <col min="14" max="14" width="5.5" style="2" customWidth="1"/>
    <col min="15" max="15" width="6.5" style="2" customWidth="1"/>
    <col min="16" max="16384" width="9" style="2"/>
  </cols>
  <sheetData>
    <row r="1" spans="1:18" s="50" customFormat="1" ht="58.5" customHeight="1" x14ac:dyDescent="0.3">
      <c r="A1" s="157" t="s">
        <v>65</v>
      </c>
      <c r="B1" s="158" t="s">
        <v>9</v>
      </c>
      <c r="C1" s="158" t="s">
        <v>451</v>
      </c>
      <c r="D1" s="158" t="s">
        <v>0</v>
      </c>
      <c r="E1" s="159" t="s">
        <v>92</v>
      </c>
      <c r="F1" s="159" t="s">
        <v>241</v>
      </c>
      <c r="G1" s="158" t="s">
        <v>7</v>
      </c>
      <c r="H1" s="159" t="s">
        <v>321</v>
      </c>
      <c r="I1" s="285" t="s">
        <v>361</v>
      </c>
      <c r="J1" s="285" t="s">
        <v>362</v>
      </c>
      <c r="K1" s="158" t="s">
        <v>238</v>
      </c>
      <c r="L1" s="328" t="s">
        <v>376</v>
      </c>
      <c r="M1" s="159" t="s">
        <v>322</v>
      </c>
      <c r="N1" s="159" t="s">
        <v>242</v>
      </c>
      <c r="O1" s="161" t="s">
        <v>323</v>
      </c>
      <c r="P1" s="188" t="s">
        <v>43</v>
      </c>
      <c r="Q1" s="160" t="s">
        <v>93</v>
      </c>
    </row>
    <row r="2" spans="1:18" ht="13" x14ac:dyDescent="0.25">
      <c r="A2" s="124" t="s">
        <v>248</v>
      </c>
      <c r="B2" s="191" t="s">
        <v>243</v>
      </c>
      <c r="C2" s="162" t="s">
        <v>266</v>
      </c>
      <c r="D2" s="132">
        <v>531</v>
      </c>
      <c r="E2" s="132">
        <v>200</v>
      </c>
      <c r="F2" s="132">
        <v>12</v>
      </c>
      <c r="G2" s="132">
        <v>0.03</v>
      </c>
      <c r="H2" s="132">
        <v>3.2000000000000001E-2</v>
      </c>
      <c r="I2" s="132">
        <v>1</v>
      </c>
      <c r="J2" s="163">
        <v>0.5</v>
      </c>
      <c r="K2" s="163">
        <v>1</v>
      </c>
      <c r="L2" s="132">
        <v>222</v>
      </c>
      <c r="M2" s="132">
        <v>1.5E-3</v>
      </c>
      <c r="N2" s="73">
        <f>2.5*0.87</f>
        <v>2.1749999999999998</v>
      </c>
      <c r="O2" s="73"/>
      <c r="P2" s="189" t="s">
        <v>79</v>
      </c>
      <c r="Q2" s="2">
        <v>0</v>
      </c>
      <c r="R2" s="50"/>
    </row>
    <row r="3" spans="1:18" ht="13" x14ac:dyDescent="0.25">
      <c r="A3" s="124" t="s">
        <v>248</v>
      </c>
      <c r="B3" s="191" t="s">
        <v>91</v>
      </c>
      <c r="C3" s="162" t="s">
        <v>268</v>
      </c>
      <c r="D3" s="132">
        <v>531</v>
      </c>
      <c r="E3" s="132">
        <v>200</v>
      </c>
      <c r="F3" s="132">
        <v>12</v>
      </c>
      <c r="G3" s="132">
        <v>0.03</v>
      </c>
      <c r="H3" s="132">
        <v>3.2000000000000001E-2</v>
      </c>
      <c r="I3" s="132">
        <v>1</v>
      </c>
      <c r="J3" s="163">
        <v>0.5</v>
      </c>
      <c r="K3" s="163">
        <v>1</v>
      </c>
      <c r="L3" s="132">
        <v>222</v>
      </c>
      <c r="M3" s="132">
        <v>1.5E-3</v>
      </c>
      <c r="N3" s="73">
        <f>0.015*0.97</f>
        <v>1.4549999999999999E-2</v>
      </c>
      <c r="O3" s="73"/>
      <c r="P3" s="124" t="s">
        <v>79</v>
      </c>
      <c r="Q3" s="2">
        <v>0</v>
      </c>
      <c r="R3" s="50"/>
    </row>
    <row r="4" spans="1:18" ht="13" x14ac:dyDescent="0.25">
      <c r="A4" s="124" t="s">
        <v>248</v>
      </c>
      <c r="B4" s="191" t="s">
        <v>234</v>
      </c>
      <c r="C4" s="162" t="s">
        <v>267</v>
      </c>
      <c r="D4" s="132">
        <v>531</v>
      </c>
      <c r="E4" s="132">
        <v>200</v>
      </c>
      <c r="F4" s="132">
        <v>12</v>
      </c>
      <c r="G4" s="132">
        <v>0.03</v>
      </c>
      <c r="H4" s="132">
        <v>3.2000000000000001E-2</v>
      </c>
      <c r="I4" s="132">
        <v>1</v>
      </c>
      <c r="J4" s="163">
        <v>0.5</v>
      </c>
      <c r="K4" s="163">
        <v>1</v>
      </c>
      <c r="L4" s="132">
        <v>222</v>
      </c>
      <c r="M4" s="132">
        <v>1.5E-3</v>
      </c>
      <c r="N4" s="329">
        <f>0.109*0.96</f>
        <v>0.10464</v>
      </c>
      <c r="O4" s="132"/>
      <c r="P4" s="124" t="s">
        <v>79</v>
      </c>
      <c r="Q4" s="2">
        <v>0</v>
      </c>
      <c r="R4" s="50"/>
    </row>
    <row r="5" spans="1:18" ht="13" x14ac:dyDescent="0.25">
      <c r="A5" s="124" t="s">
        <v>249</v>
      </c>
      <c r="B5" s="191" t="s">
        <v>91</v>
      </c>
      <c r="C5" s="162" t="s">
        <v>409</v>
      </c>
      <c r="D5" s="132">
        <v>705.6</v>
      </c>
      <c r="E5" s="132">
        <v>200</v>
      </c>
      <c r="F5" s="132">
        <v>12</v>
      </c>
      <c r="G5" s="132">
        <v>1.6E-2</v>
      </c>
      <c r="H5" s="132">
        <f>0.62/60</f>
        <v>1.0333333333333333E-2</v>
      </c>
      <c r="I5" s="132">
        <v>1</v>
      </c>
      <c r="J5" s="132">
        <v>0.8</v>
      </c>
      <c r="K5" s="163">
        <v>1</v>
      </c>
      <c r="L5" s="132">
        <v>1413</v>
      </c>
      <c r="M5" s="132">
        <v>2.0000000000000001E-4</v>
      </c>
      <c r="N5" s="329">
        <f>0.0013</f>
        <v>1.2999999999999999E-3</v>
      </c>
      <c r="O5" s="132"/>
      <c r="P5" s="124" t="s">
        <v>79</v>
      </c>
      <c r="Q5" s="2">
        <v>0</v>
      </c>
      <c r="R5" s="50"/>
    </row>
    <row r="6" spans="1:18" ht="13" x14ac:dyDescent="0.25">
      <c r="A6" s="124" t="s">
        <v>247</v>
      </c>
      <c r="B6" s="191" t="s">
        <v>8</v>
      </c>
      <c r="C6" s="162" t="s">
        <v>303</v>
      </c>
      <c r="D6" s="132">
        <v>346</v>
      </c>
      <c r="E6" s="132">
        <v>40</v>
      </c>
      <c r="F6" s="132">
        <v>24</v>
      </c>
      <c r="G6" s="132">
        <v>7.9000000000000001E-2</v>
      </c>
      <c r="H6" s="132">
        <v>1.6E-2</v>
      </c>
      <c r="I6" s="132">
        <v>1</v>
      </c>
      <c r="J6" s="163">
        <v>0.5</v>
      </c>
      <c r="K6" s="163">
        <v>1</v>
      </c>
      <c r="L6" s="132">
        <v>560</v>
      </c>
      <c r="M6" s="163">
        <v>1E-3</v>
      </c>
      <c r="N6" s="132">
        <f>0.78*0.051</f>
        <v>3.9779999999999996E-2</v>
      </c>
      <c r="O6" s="132"/>
      <c r="P6" s="124" t="s">
        <v>79</v>
      </c>
      <c r="Q6" s="2">
        <v>0</v>
      </c>
      <c r="R6" s="50"/>
    </row>
    <row r="7" spans="1:18" ht="13" x14ac:dyDescent="0.25">
      <c r="A7" s="124" t="s">
        <v>247</v>
      </c>
      <c r="B7" s="191" t="s">
        <v>227</v>
      </c>
      <c r="C7" s="162" t="s">
        <v>304</v>
      </c>
      <c r="D7" s="132">
        <v>346</v>
      </c>
      <c r="E7" s="132">
        <v>40</v>
      </c>
      <c r="F7" s="132">
        <v>24</v>
      </c>
      <c r="G7" s="132">
        <v>7.9000000000000001E-2</v>
      </c>
      <c r="H7" s="132">
        <v>1.6E-2</v>
      </c>
      <c r="I7" s="132">
        <v>1</v>
      </c>
      <c r="J7" s="163">
        <v>0.5</v>
      </c>
      <c r="K7" s="163">
        <v>1</v>
      </c>
      <c r="L7" s="132">
        <v>560</v>
      </c>
      <c r="M7" s="163">
        <v>1E-3</v>
      </c>
      <c r="N7" s="132">
        <f>87*0.051</f>
        <v>4.4369999999999994</v>
      </c>
      <c r="O7" s="132"/>
      <c r="P7" s="124" t="s">
        <v>79</v>
      </c>
      <c r="Q7" s="2">
        <v>0</v>
      </c>
      <c r="R7" s="50"/>
    </row>
    <row r="8" spans="1:18" ht="13" x14ac:dyDescent="0.25">
      <c r="A8" s="124" t="s">
        <v>247</v>
      </c>
      <c r="B8" s="191" t="s">
        <v>91</v>
      </c>
      <c r="C8" s="162" t="s">
        <v>305</v>
      </c>
      <c r="D8" s="132">
        <v>346</v>
      </c>
      <c r="E8" s="132">
        <v>40</v>
      </c>
      <c r="F8" s="132">
        <v>24</v>
      </c>
      <c r="G8" s="132">
        <v>7.9000000000000001E-2</v>
      </c>
      <c r="H8" s="132">
        <v>1.6E-2</v>
      </c>
      <c r="I8" s="132">
        <v>1</v>
      </c>
      <c r="J8" s="163">
        <v>0.5</v>
      </c>
      <c r="K8" s="163">
        <v>1</v>
      </c>
      <c r="L8" s="132">
        <v>560</v>
      </c>
      <c r="M8" s="163">
        <v>1E-3</v>
      </c>
      <c r="N8" s="132">
        <f>67*0.051</f>
        <v>3.4169999999999998</v>
      </c>
      <c r="O8" s="132"/>
      <c r="P8" s="124" t="s">
        <v>79</v>
      </c>
      <c r="Q8" s="2">
        <v>0</v>
      </c>
      <c r="R8" s="50"/>
    </row>
    <row r="9" spans="1:18" ht="13" x14ac:dyDescent="0.25">
      <c r="A9" s="124" t="s">
        <v>247</v>
      </c>
      <c r="B9" s="191" t="s">
        <v>234</v>
      </c>
      <c r="C9" s="162" t="s">
        <v>259</v>
      </c>
      <c r="D9" s="132">
        <v>346</v>
      </c>
      <c r="E9" s="132">
        <v>40</v>
      </c>
      <c r="F9" s="132">
        <v>24</v>
      </c>
      <c r="G9" s="132">
        <v>7.9000000000000001E-2</v>
      </c>
      <c r="H9" s="132">
        <v>1.6E-2</v>
      </c>
      <c r="I9" s="132">
        <v>1</v>
      </c>
      <c r="J9" s="163">
        <v>0.5</v>
      </c>
      <c r="K9" s="163">
        <v>1</v>
      </c>
      <c r="L9" s="132">
        <v>560</v>
      </c>
      <c r="M9" s="163">
        <v>1E-3</v>
      </c>
      <c r="N9" s="132">
        <f>28*0.16</f>
        <v>4.4800000000000004</v>
      </c>
      <c r="O9" s="132"/>
      <c r="P9" s="124" t="s">
        <v>79</v>
      </c>
      <c r="Q9" s="2">
        <v>0</v>
      </c>
      <c r="R9" s="50"/>
    </row>
    <row r="10" spans="1:18" ht="13" x14ac:dyDescent="0.25">
      <c r="A10" s="124" t="s">
        <v>17</v>
      </c>
      <c r="B10" s="191" t="s">
        <v>8</v>
      </c>
      <c r="C10" s="162" t="s">
        <v>306</v>
      </c>
      <c r="D10" s="132">
        <v>324</v>
      </c>
      <c r="E10" s="132">
        <v>200</v>
      </c>
      <c r="F10" s="132">
        <v>24</v>
      </c>
      <c r="G10" s="132">
        <v>0.2</v>
      </c>
      <c r="H10" s="132">
        <v>0.03</v>
      </c>
      <c r="I10" s="132">
        <v>1</v>
      </c>
      <c r="J10" s="163">
        <v>0.5</v>
      </c>
      <c r="K10" s="163">
        <v>1</v>
      </c>
      <c r="L10" s="132">
        <v>322</v>
      </c>
      <c r="M10" s="163">
        <v>1E-3</v>
      </c>
      <c r="N10" s="132">
        <f>0.017*0.7</f>
        <v>1.1900000000000001E-2</v>
      </c>
      <c r="O10" s="132"/>
      <c r="P10" s="124" t="s">
        <v>79</v>
      </c>
      <c r="Q10" s="2">
        <v>0</v>
      </c>
      <c r="R10" s="50"/>
    </row>
    <row r="11" spans="1:18" ht="13" x14ac:dyDescent="0.25">
      <c r="A11" s="124" t="s">
        <v>17</v>
      </c>
      <c r="B11" s="191" t="s">
        <v>91</v>
      </c>
      <c r="C11" s="162" t="s">
        <v>276</v>
      </c>
      <c r="D11" s="132">
        <v>324</v>
      </c>
      <c r="E11" s="132">
        <v>200</v>
      </c>
      <c r="F11" s="132">
        <v>24</v>
      </c>
      <c r="G11" s="132">
        <v>0.2</v>
      </c>
      <c r="H11" s="132">
        <v>0.03</v>
      </c>
      <c r="I11" s="132">
        <v>1</v>
      </c>
      <c r="J11" s="163">
        <v>0.5</v>
      </c>
      <c r="K11" s="163">
        <v>1</v>
      </c>
      <c r="L11" s="132">
        <v>322</v>
      </c>
      <c r="M11" s="163">
        <v>1E-3</v>
      </c>
      <c r="N11" s="132">
        <f>40*0.58</f>
        <v>23.2</v>
      </c>
      <c r="O11" s="132"/>
      <c r="P11" s="124" t="s">
        <v>79</v>
      </c>
      <c r="Q11" s="2">
        <v>0</v>
      </c>
      <c r="R11" s="50"/>
    </row>
    <row r="12" spans="1:18" ht="13" x14ac:dyDescent="0.25">
      <c r="A12" s="124" t="s">
        <v>250</v>
      </c>
      <c r="B12" s="191" t="s">
        <v>221</v>
      </c>
      <c r="C12" s="162" t="s">
        <v>307</v>
      </c>
      <c r="D12" s="132">
        <v>318</v>
      </c>
      <c r="E12" s="132">
        <v>200</v>
      </c>
      <c r="F12" s="132">
        <v>24</v>
      </c>
      <c r="G12" s="132">
        <v>0.14000000000000001</v>
      </c>
      <c r="H12" s="132">
        <v>7.0000000000000001E-3</v>
      </c>
      <c r="I12" s="132">
        <v>1</v>
      </c>
      <c r="J12" s="163">
        <v>0.5</v>
      </c>
      <c r="K12" s="163">
        <v>1</v>
      </c>
      <c r="L12" s="132">
        <v>3045</v>
      </c>
      <c r="M12" s="163">
        <v>1E-3</v>
      </c>
      <c r="N12" s="132">
        <f>0.156*0.31</f>
        <v>4.836E-2</v>
      </c>
      <c r="O12" s="132"/>
      <c r="P12" s="124" t="s">
        <v>79</v>
      </c>
      <c r="Q12" s="2">
        <v>0</v>
      </c>
      <c r="R12" s="50"/>
    </row>
    <row r="13" spans="1:18" ht="13" x14ac:dyDescent="0.25">
      <c r="A13" s="124" t="s">
        <v>250</v>
      </c>
      <c r="B13" s="191" t="s">
        <v>227</v>
      </c>
      <c r="C13" s="162" t="s">
        <v>263</v>
      </c>
      <c r="D13" s="132">
        <v>318</v>
      </c>
      <c r="E13" s="132">
        <v>200</v>
      </c>
      <c r="F13" s="132">
        <v>24</v>
      </c>
      <c r="G13" s="132">
        <v>0.14000000000000001</v>
      </c>
      <c r="H13" s="132">
        <v>7.0000000000000001E-3</v>
      </c>
      <c r="I13" s="132">
        <v>1</v>
      </c>
      <c r="J13" s="163">
        <v>0.5</v>
      </c>
      <c r="K13" s="163">
        <v>1</v>
      </c>
      <c r="L13" s="132">
        <v>3045</v>
      </c>
      <c r="M13" s="163">
        <v>1E-3</v>
      </c>
      <c r="N13" s="132">
        <f>8.43*0.15</f>
        <v>1.2645</v>
      </c>
      <c r="O13" s="132"/>
      <c r="P13" s="124" t="s">
        <v>79</v>
      </c>
      <c r="Q13" s="2">
        <v>0</v>
      </c>
      <c r="R13" s="50"/>
    </row>
    <row r="14" spans="1:18" ht="13" x14ac:dyDescent="0.25">
      <c r="A14" s="124" t="s">
        <v>250</v>
      </c>
      <c r="B14" s="191" t="s">
        <v>224</v>
      </c>
      <c r="C14" s="162" t="s">
        <v>308</v>
      </c>
      <c r="D14" s="132">
        <v>318</v>
      </c>
      <c r="E14" s="132">
        <v>200</v>
      </c>
      <c r="F14" s="132">
        <v>24</v>
      </c>
      <c r="G14" s="132">
        <v>0.14000000000000001</v>
      </c>
      <c r="H14" s="132">
        <v>1.2E-2</v>
      </c>
      <c r="I14" s="132">
        <v>1</v>
      </c>
      <c r="J14" s="163">
        <v>1</v>
      </c>
      <c r="K14" s="163">
        <v>1</v>
      </c>
      <c r="L14" s="132">
        <v>3045</v>
      </c>
      <c r="M14" s="132">
        <v>5.0000000000000001E-3</v>
      </c>
      <c r="N14" s="132">
        <f>0.24*0.26</f>
        <v>6.2399999999999997E-2</v>
      </c>
      <c r="O14" s="132"/>
      <c r="P14" s="124" t="s">
        <v>79</v>
      </c>
      <c r="Q14" s="2">
        <v>0</v>
      </c>
      <c r="R14" s="50"/>
    </row>
    <row r="15" spans="1:18" ht="13" x14ac:dyDescent="0.25">
      <c r="A15" s="124" t="s">
        <v>250</v>
      </c>
      <c r="B15" s="191" t="s">
        <v>8</v>
      </c>
      <c r="C15" s="162" t="s">
        <v>309</v>
      </c>
      <c r="D15" s="132">
        <v>318</v>
      </c>
      <c r="E15" s="132">
        <v>200</v>
      </c>
      <c r="F15" s="132">
        <v>24</v>
      </c>
      <c r="G15" s="132">
        <v>0.14000000000000001</v>
      </c>
      <c r="H15" s="132">
        <v>7.0000000000000001E-3</v>
      </c>
      <c r="I15" s="132">
        <v>1</v>
      </c>
      <c r="J15" s="163">
        <v>0.5</v>
      </c>
      <c r="K15" s="163">
        <v>1</v>
      </c>
      <c r="L15" s="132">
        <v>3045</v>
      </c>
      <c r="M15" s="163">
        <v>1E-3</v>
      </c>
      <c r="N15" s="132">
        <f>6.61*0.286</f>
        <v>1.89046</v>
      </c>
      <c r="O15" s="132"/>
      <c r="P15" s="124" t="s">
        <v>79</v>
      </c>
      <c r="Q15" s="2">
        <v>0</v>
      </c>
      <c r="R15" s="50"/>
    </row>
    <row r="16" spans="1:18" ht="13" x14ac:dyDescent="0.25">
      <c r="A16" s="124" t="s">
        <v>250</v>
      </c>
      <c r="B16" s="191" t="s">
        <v>234</v>
      </c>
      <c r="C16" s="162" t="s">
        <v>310</v>
      </c>
      <c r="D16" s="132">
        <v>318</v>
      </c>
      <c r="E16" s="132">
        <v>200</v>
      </c>
      <c r="F16" s="132">
        <v>24</v>
      </c>
      <c r="G16" s="132">
        <v>0.14000000000000001</v>
      </c>
      <c r="H16" s="132">
        <v>7.0000000000000001E-3</v>
      </c>
      <c r="I16" s="132">
        <v>1</v>
      </c>
      <c r="J16" s="163">
        <v>0.5</v>
      </c>
      <c r="K16" s="163">
        <v>1</v>
      </c>
      <c r="L16" s="132">
        <v>3045</v>
      </c>
      <c r="M16" s="163">
        <v>1E-3</v>
      </c>
      <c r="N16" s="132">
        <f>17.9*0.441</f>
        <v>7.8938999999999995</v>
      </c>
      <c r="O16" s="132"/>
      <c r="P16" s="124" t="s">
        <v>79</v>
      </c>
      <c r="Q16" s="2">
        <v>0</v>
      </c>
      <c r="R16" s="50"/>
    </row>
    <row r="17" spans="1:18" ht="13" x14ac:dyDescent="0.25">
      <c r="A17" s="124" t="s">
        <v>251</v>
      </c>
      <c r="B17" s="191" t="s">
        <v>227</v>
      </c>
      <c r="C17" s="162" t="s">
        <v>311</v>
      </c>
      <c r="D17" s="132">
        <v>314</v>
      </c>
      <c r="E17" s="132">
        <v>2000</v>
      </c>
      <c r="F17" s="132">
        <v>24</v>
      </c>
      <c r="G17" s="132">
        <v>0.18</v>
      </c>
      <c r="H17" s="132">
        <v>0.03</v>
      </c>
      <c r="I17" s="132">
        <v>1</v>
      </c>
      <c r="J17" s="163">
        <v>0.5</v>
      </c>
      <c r="K17" s="163">
        <v>1</v>
      </c>
      <c r="L17" s="132">
        <v>772</v>
      </c>
      <c r="M17" s="163">
        <v>1E-3</v>
      </c>
      <c r="N17" s="132">
        <f>0.1616*0.972</f>
        <v>0.1570752</v>
      </c>
      <c r="O17" s="132"/>
      <c r="P17" s="124" t="s">
        <v>79</v>
      </c>
      <c r="Q17" s="2">
        <v>0</v>
      </c>
      <c r="R17" s="50"/>
    </row>
    <row r="18" spans="1:18" ht="13" x14ac:dyDescent="0.25">
      <c r="A18" s="124" t="s">
        <v>251</v>
      </c>
      <c r="B18" s="191" t="s">
        <v>224</v>
      </c>
      <c r="C18" s="162" t="s">
        <v>312</v>
      </c>
      <c r="D18" s="132">
        <v>314</v>
      </c>
      <c r="E18" s="132">
        <v>2000</v>
      </c>
      <c r="F18" s="132">
        <v>24</v>
      </c>
      <c r="G18" s="132">
        <v>0.18</v>
      </c>
      <c r="H18" s="132">
        <v>0.03</v>
      </c>
      <c r="I18" s="132">
        <v>1</v>
      </c>
      <c r="J18" s="163">
        <v>0.5</v>
      </c>
      <c r="K18" s="163">
        <v>1</v>
      </c>
      <c r="L18" s="132">
        <v>772</v>
      </c>
      <c r="M18" s="163">
        <v>1E-3</v>
      </c>
      <c r="N18" s="132">
        <f>12*0.972</f>
        <v>11.664</v>
      </c>
      <c r="O18" s="132"/>
      <c r="P18" s="124" t="s">
        <v>79</v>
      </c>
      <c r="Q18" s="2">
        <v>0</v>
      </c>
      <c r="R18" s="50"/>
    </row>
    <row r="19" spans="1:18" ht="13" x14ac:dyDescent="0.25">
      <c r="A19" s="124" t="s">
        <v>25</v>
      </c>
      <c r="B19" s="191" t="s">
        <v>8</v>
      </c>
      <c r="C19" s="162" t="s">
        <v>286</v>
      </c>
      <c r="D19" s="132">
        <v>329</v>
      </c>
      <c r="E19" s="132">
        <v>30</v>
      </c>
      <c r="F19" s="132">
        <v>24</v>
      </c>
      <c r="G19" s="132">
        <v>0.08</v>
      </c>
      <c r="H19" s="132">
        <v>0.01</v>
      </c>
      <c r="I19" s="132">
        <v>1</v>
      </c>
      <c r="J19" s="163">
        <v>0.5</v>
      </c>
      <c r="K19" s="163">
        <v>1</v>
      </c>
      <c r="L19" s="132">
        <f>24150/6</f>
        <v>4025</v>
      </c>
      <c r="M19" s="163">
        <v>1E-3</v>
      </c>
      <c r="N19" s="132">
        <f>0.46/0.2</f>
        <v>2.2999999999999998</v>
      </c>
      <c r="O19" s="132"/>
      <c r="P19" s="125" t="s">
        <v>79</v>
      </c>
      <c r="Q19" s="2">
        <v>0</v>
      </c>
      <c r="R19" s="50"/>
    </row>
    <row r="20" spans="1:18" ht="13" x14ac:dyDescent="0.25">
      <c r="A20" s="164" t="s">
        <v>61</v>
      </c>
      <c r="B20" s="132" t="s">
        <v>91</v>
      </c>
      <c r="C20" s="162" t="s">
        <v>313</v>
      </c>
      <c r="D20" s="132">
        <v>414.5</v>
      </c>
      <c r="E20" s="132">
        <v>60</v>
      </c>
      <c r="F20" s="132">
        <v>8</v>
      </c>
      <c r="G20" s="132">
        <v>0.25</v>
      </c>
      <c r="H20" s="132">
        <v>0.1</v>
      </c>
      <c r="I20" s="132">
        <v>1</v>
      </c>
      <c r="J20" s="132">
        <v>0.8</v>
      </c>
      <c r="K20" s="163">
        <v>1</v>
      </c>
      <c r="L20" s="132">
        <v>2930</v>
      </c>
      <c r="M20" s="132">
        <v>2.8999999999999998E-3</v>
      </c>
      <c r="N20" s="165">
        <v>4.75</v>
      </c>
      <c r="O20" s="330">
        <f>0.7/60</f>
        <v>1.1666666666666665E-2</v>
      </c>
      <c r="P20" s="187"/>
      <c r="Q20" s="2">
        <v>1</v>
      </c>
    </row>
    <row r="21" spans="1:18" ht="13" x14ac:dyDescent="0.25">
      <c r="A21" s="164" t="s">
        <v>61</v>
      </c>
      <c r="B21" s="132" t="s">
        <v>234</v>
      </c>
      <c r="C21" s="162" t="s">
        <v>314</v>
      </c>
      <c r="D21" s="132">
        <v>414.5</v>
      </c>
      <c r="E21" s="132">
        <v>60</v>
      </c>
      <c r="F21" s="132">
        <v>8</v>
      </c>
      <c r="G21" s="132">
        <v>0.25</v>
      </c>
      <c r="H21" s="132">
        <v>0.1</v>
      </c>
      <c r="I21" s="132">
        <v>1</v>
      </c>
      <c r="J21" s="132">
        <v>0.8</v>
      </c>
      <c r="K21" s="163">
        <v>1</v>
      </c>
      <c r="L21" s="132">
        <v>2930</v>
      </c>
      <c r="M21" s="132">
        <v>2.8999999999999998E-3</v>
      </c>
      <c r="N21" s="165">
        <f>8.7*0.9</f>
        <v>7.8299999999999992</v>
      </c>
      <c r="O21" s="131">
        <v>7.0000000000000001E-3</v>
      </c>
      <c r="P21" s="187"/>
      <c r="Q21" s="2">
        <v>1</v>
      </c>
    </row>
    <row r="22" spans="1:18" ht="13" x14ac:dyDescent="0.25">
      <c r="A22" s="164" t="s">
        <v>244</v>
      </c>
      <c r="B22" s="132" t="s">
        <v>91</v>
      </c>
      <c r="C22" s="162" t="s">
        <v>315</v>
      </c>
      <c r="D22" s="132">
        <v>734</v>
      </c>
      <c r="E22" s="132">
        <v>500</v>
      </c>
      <c r="F22" s="132">
        <v>6</v>
      </c>
      <c r="G22" s="132">
        <v>0.31</v>
      </c>
      <c r="H22" s="132">
        <f>0.26/60</f>
        <v>4.3333333333333331E-3</v>
      </c>
      <c r="I22" s="132">
        <v>1</v>
      </c>
      <c r="J22" s="163">
        <v>0.5</v>
      </c>
      <c r="K22" s="163">
        <v>1</v>
      </c>
      <c r="L22" s="132">
        <v>1060</v>
      </c>
      <c r="M22" s="163">
        <v>1E-3</v>
      </c>
      <c r="N22" s="165">
        <f>13.4*0.972</f>
        <v>13.024800000000001</v>
      </c>
      <c r="O22" s="166">
        <f>1.49/60</f>
        <v>2.4833333333333332E-2</v>
      </c>
      <c r="P22" s="187"/>
      <c r="Q22" s="2">
        <v>1</v>
      </c>
    </row>
    <row r="23" spans="1:18" ht="13" x14ac:dyDescent="0.25">
      <c r="A23" s="164" t="s">
        <v>244</v>
      </c>
      <c r="B23" s="132" t="s">
        <v>234</v>
      </c>
      <c r="C23" s="162" t="s">
        <v>316</v>
      </c>
      <c r="D23" s="132">
        <v>734</v>
      </c>
      <c r="E23" s="132">
        <v>500</v>
      </c>
      <c r="F23" s="132">
        <v>6</v>
      </c>
      <c r="G23" s="132">
        <v>0.31</v>
      </c>
      <c r="H23" s="132">
        <f>0.26/60</f>
        <v>4.3333333333333331E-3</v>
      </c>
      <c r="I23" s="132">
        <v>1</v>
      </c>
      <c r="J23" s="163">
        <v>0.5</v>
      </c>
      <c r="K23" s="163">
        <v>1</v>
      </c>
      <c r="L23" s="132">
        <v>1060</v>
      </c>
      <c r="M23" s="163">
        <v>1E-3</v>
      </c>
      <c r="N23" s="165">
        <f>7.14*0.972</f>
        <v>6.9400799999999991</v>
      </c>
      <c r="O23" s="131">
        <f>0.66/60</f>
        <v>1.1000000000000001E-2</v>
      </c>
      <c r="P23" s="187"/>
      <c r="Q23" s="2">
        <v>1</v>
      </c>
    </row>
    <row r="24" spans="1:18" ht="13" x14ac:dyDescent="0.25">
      <c r="A24" s="164" t="s">
        <v>245</v>
      </c>
      <c r="B24" s="132" t="s">
        <v>91</v>
      </c>
      <c r="C24" s="162" t="s">
        <v>317</v>
      </c>
      <c r="D24" s="132">
        <v>721</v>
      </c>
      <c r="E24" s="132">
        <v>500</v>
      </c>
      <c r="F24" s="132">
        <v>12</v>
      </c>
      <c r="G24" s="165">
        <v>0.02</v>
      </c>
      <c r="H24" s="132">
        <f>0.24/60</f>
        <v>4.0000000000000001E-3</v>
      </c>
      <c r="I24" s="132">
        <v>1</v>
      </c>
      <c r="J24" s="163">
        <v>0.5</v>
      </c>
      <c r="K24" s="163">
        <v>1</v>
      </c>
      <c r="L24" s="165">
        <f>910/6</f>
        <v>151.66666666666666</v>
      </c>
      <c r="M24" s="163">
        <v>1E-3</v>
      </c>
      <c r="N24" s="132">
        <v>0.1</v>
      </c>
      <c r="O24" s="131">
        <v>0.32</v>
      </c>
      <c r="P24" s="187"/>
      <c r="Q24" s="2">
        <v>1</v>
      </c>
    </row>
    <row r="25" spans="1:18" ht="13" x14ac:dyDescent="0.25">
      <c r="A25" s="164" t="s">
        <v>246</v>
      </c>
      <c r="B25" s="132" t="s">
        <v>91</v>
      </c>
      <c r="C25" s="331" t="s">
        <v>318</v>
      </c>
      <c r="D25" s="132">
        <v>455</v>
      </c>
      <c r="E25" s="132">
        <v>120</v>
      </c>
      <c r="F25" s="132">
        <v>8</v>
      </c>
      <c r="G25" s="132">
        <v>0.1</v>
      </c>
      <c r="H25" s="132">
        <v>0.02</v>
      </c>
      <c r="I25" s="132">
        <v>1</v>
      </c>
      <c r="J25" s="320">
        <v>0.56999999999999995</v>
      </c>
      <c r="K25" s="163">
        <v>1</v>
      </c>
      <c r="L25" s="165">
        <f>8540/6</f>
        <v>1423.3333333333333</v>
      </c>
      <c r="M25" s="132">
        <v>1.4E-3</v>
      </c>
      <c r="N25" s="132">
        <v>2.2000000000000002</v>
      </c>
      <c r="O25" s="330">
        <f>2/60</f>
        <v>3.3333333333333333E-2</v>
      </c>
      <c r="P25" s="187"/>
      <c r="Q25" s="2">
        <v>1</v>
      </c>
    </row>
    <row r="26" spans="1:18" ht="13" x14ac:dyDescent="0.25">
      <c r="A26" s="164" t="s">
        <v>247</v>
      </c>
      <c r="B26" s="132" t="s">
        <v>91</v>
      </c>
      <c r="C26" s="162" t="s">
        <v>319</v>
      </c>
      <c r="D26" s="132">
        <v>346</v>
      </c>
      <c r="E26" s="132">
        <v>40</v>
      </c>
      <c r="F26" s="132">
        <v>24</v>
      </c>
      <c r="G26" s="132">
        <v>7.9000000000000001E-2</v>
      </c>
      <c r="H26" s="132">
        <v>1.6E-2</v>
      </c>
      <c r="I26" s="132">
        <v>1</v>
      </c>
      <c r="J26" s="163">
        <v>0.5</v>
      </c>
      <c r="K26" s="163">
        <v>1</v>
      </c>
      <c r="L26" s="132">
        <v>560</v>
      </c>
      <c r="M26" s="163">
        <v>1E-3</v>
      </c>
      <c r="N26" s="132">
        <v>5.26</v>
      </c>
      <c r="O26" s="131">
        <v>1.7000000000000001E-2</v>
      </c>
      <c r="P26" s="187"/>
      <c r="Q26" s="2">
        <v>1</v>
      </c>
    </row>
    <row r="27" spans="1:18" ht="13" x14ac:dyDescent="0.25">
      <c r="A27" s="164" t="s">
        <v>25</v>
      </c>
      <c r="B27" s="132" t="s">
        <v>8</v>
      </c>
      <c r="C27" s="162" t="s">
        <v>320</v>
      </c>
      <c r="D27" s="132">
        <v>329</v>
      </c>
      <c r="E27" s="132">
        <v>30</v>
      </c>
      <c r="F27" s="132">
        <v>24</v>
      </c>
      <c r="G27" s="132">
        <v>0.08</v>
      </c>
      <c r="H27" s="132">
        <v>0.01</v>
      </c>
      <c r="I27" s="132">
        <v>1</v>
      </c>
      <c r="J27" s="163">
        <v>0.5</v>
      </c>
      <c r="K27" s="163">
        <v>1</v>
      </c>
      <c r="L27" s="132">
        <f>24150/6</f>
        <v>4025</v>
      </c>
      <c r="M27" s="163">
        <v>1E-3</v>
      </c>
      <c r="N27" s="132">
        <v>0.315</v>
      </c>
      <c r="O27" s="131">
        <v>0.17</v>
      </c>
      <c r="P27" s="187"/>
      <c r="Q27" s="2">
        <v>1</v>
      </c>
    </row>
    <row r="28" spans="1:18" ht="13" x14ac:dyDescent="0.25">
      <c r="A28" s="164" t="s">
        <v>246</v>
      </c>
      <c r="B28" s="49" t="s">
        <v>234</v>
      </c>
      <c r="C28" s="331" t="s">
        <v>377</v>
      </c>
      <c r="D28" s="49">
        <v>455</v>
      </c>
      <c r="E28" s="49">
        <v>120</v>
      </c>
      <c r="F28" s="49">
        <v>8</v>
      </c>
      <c r="G28" s="49">
        <v>0.1</v>
      </c>
      <c r="H28" s="49">
        <v>2.0333333333333332E-2</v>
      </c>
      <c r="I28" s="49">
        <v>1</v>
      </c>
      <c r="J28" s="49">
        <v>0.56999999999999995</v>
      </c>
      <c r="K28" s="49">
        <v>1</v>
      </c>
      <c r="L28" s="333">
        <v>1423.3333333333333</v>
      </c>
      <c r="M28" s="49">
        <v>1.4E-3</v>
      </c>
      <c r="N28" s="49">
        <v>5.4</v>
      </c>
      <c r="O28" s="332">
        <v>2.9166666666666667E-2</v>
      </c>
      <c r="P28" s="187"/>
      <c r="Q28" s="2">
        <v>1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33"/>
  <sheetViews>
    <sheetView topLeftCell="C25" workbookViewId="0">
      <selection activeCell="J16" sqref="J16"/>
    </sheetView>
  </sheetViews>
  <sheetFormatPr defaultRowHeight="14" x14ac:dyDescent="0.3"/>
  <cols>
    <col min="1" max="6" width="24.58203125" customWidth="1"/>
  </cols>
  <sheetData>
    <row r="1" spans="1:6" x14ac:dyDescent="0.3">
      <c r="A1" s="62" t="s">
        <v>101</v>
      </c>
      <c r="B1" s="62" t="s">
        <v>102</v>
      </c>
      <c r="C1" s="62" t="s">
        <v>103</v>
      </c>
      <c r="D1" s="62" t="s">
        <v>29</v>
      </c>
      <c r="E1" s="62" t="s">
        <v>30</v>
      </c>
      <c r="F1" s="62" t="s">
        <v>104</v>
      </c>
    </row>
    <row r="2" spans="1:6" x14ac:dyDescent="0.3">
      <c r="A2" s="581" t="s">
        <v>105</v>
      </c>
      <c r="B2" s="583" t="s">
        <v>106</v>
      </c>
      <c r="C2" s="583" t="s">
        <v>107</v>
      </c>
      <c r="D2" s="583" t="s">
        <v>108</v>
      </c>
      <c r="E2" s="63" t="s">
        <v>109</v>
      </c>
      <c r="F2" s="583" t="s">
        <v>112</v>
      </c>
    </row>
    <row r="3" spans="1:6" x14ac:dyDescent="0.3">
      <c r="A3" s="585"/>
      <c r="B3" s="586"/>
      <c r="C3" s="586"/>
      <c r="D3" s="586"/>
      <c r="E3" s="64" t="s">
        <v>110</v>
      </c>
      <c r="F3" s="586"/>
    </row>
    <row r="4" spans="1:6" ht="85.5" customHeight="1" x14ac:dyDescent="0.3">
      <c r="A4" s="582"/>
      <c r="B4" s="584"/>
      <c r="C4" s="584"/>
      <c r="D4" s="584"/>
      <c r="E4" s="65" t="s">
        <v>111</v>
      </c>
      <c r="F4" s="584"/>
    </row>
    <row r="5" spans="1:6" ht="14.5" x14ac:dyDescent="0.3">
      <c r="A5" s="66" t="s">
        <v>113</v>
      </c>
      <c r="B5" s="67" t="s">
        <v>114</v>
      </c>
      <c r="C5" s="67" t="s">
        <v>100</v>
      </c>
      <c r="D5" s="67" t="s">
        <v>115</v>
      </c>
      <c r="E5" s="67"/>
      <c r="F5" s="67"/>
    </row>
    <row r="6" spans="1:6" ht="14.5" x14ac:dyDescent="0.3">
      <c r="A6" s="66" t="s">
        <v>116</v>
      </c>
      <c r="B6" s="67" t="s">
        <v>117</v>
      </c>
      <c r="C6" s="67" t="s">
        <v>100</v>
      </c>
      <c r="D6" s="67" t="s">
        <v>118</v>
      </c>
      <c r="E6" s="67"/>
      <c r="F6" s="67"/>
    </row>
    <row r="7" spans="1:6" ht="14.5" x14ac:dyDescent="0.3">
      <c r="A7" s="66" t="s">
        <v>119</v>
      </c>
      <c r="B7" s="67" t="s">
        <v>120</v>
      </c>
      <c r="C7" s="67" t="s">
        <v>121</v>
      </c>
      <c r="D7" s="67" t="s">
        <v>122</v>
      </c>
      <c r="E7" s="67"/>
      <c r="F7" s="67"/>
    </row>
    <row r="8" spans="1:6" ht="32.25" customHeight="1" x14ac:dyDescent="0.3">
      <c r="A8" s="66" t="s">
        <v>123</v>
      </c>
      <c r="B8" s="67" t="s">
        <v>124</v>
      </c>
      <c r="C8" s="67" t="s">
        <v>121</v>
      </c>
      <c r="D8" s="67" t="s">
        <v>125</v>
      </c>
      <c r="E8" s="67" t="s">
        <v>126</v>
      </c>
      <c r="F8" s="67"/>
    </row>
    <row r="9" spans="1:6" ht="50.25" customHeight="1" x14ac:dyDescent="0.3">
      <c r="A9" s="66" t="s">
        <v>127</v>
      </c>
      <c r="B9" s="67" t="s">
        <v>128</v>
      </c>
      <c r="C9" s="67" t="s">
        <v>129</v>
      </c>
      <c r="D9" s="67" t="s">
        <v>130</v>
      </c>
      <c r="E9" s="67"/>
      <c r="F9" s="67"/>
    </row>
    <row r="10" spans="1:6" ht="14.5" x14ac:dyDescent="0.3">
      <c r="A10" s="66" t="s">
        <v>131</v>
      </c>
      <c r="B10" s="67" t="s">
        <v>132</v>
      </c>
      <c r="C10" s="67"/>
      <c r="D10" s="67"/>
      <c r="E10" s="67"/>
      <c r="F10" s="67"/>
    </row>
    <row r="11" spans="1:6" ht="14.5" x14ac:dyDescent="0.3">
      <c r="A11" s="66" t="s">
        <v>133</v>
      </c>
      <c r="B11" s="67" t="s">
        <v>134</v>
      </c>
      <c r="C11" s="67"/>
      <c r="D11" s="67"/>
      <c r="E11" s="67"/>
      <c r="F11" s="67"/>
    </row>
    <row r="12" spans="1:6" ht="14.5" x14ac:dyDescent="0.3">
      <c r="A12" s="66" t="s">
        <v>135</v>
      </c>
      <c r="B12" s="67" t="s">
        <v>136</v>
      </c>
      <c r="C12" s="67" t="s">
        <v>137</v>
      </c>
      <c r="D12" s="67" t="s">
        <v>138</v>
      </c>
      <c r="E12" s="67"/>
      <c r="F12" s="67"/>
    </row>
    <row r="13" spans="1:6" ht="36.75" customHeight="1" x14ac:dyDescent="0.3">
      <c r="A13" s="581" t="s">
        <v>139</v>
      </c>
      <c r="B13" s="583" t="s">
        <v>140</v>
      </c>
      <c r="C13" s="583" t="s">
        <v>141</v>
      </c>
      <c r="D13" s="63" t="s">
        <v>142</v>
      </c>
      <c r="E13" s="583" t="s">
        <v>144</v>
      </c>
      <c r="F13" s="583"/>
    </row>
    <row r="14" spans="1:6" ht="39" customHeight="1" x14ac:dyDescent="0.3">
      <c r="A14" s="582"/>
      <c r="B14" s="584"/>
      <c r="C14" s="584"/>
      <c r="D14" s="65" t="s">
        <v>143</v>
      </c>
      <c r="E14" s="584"/>
      <c r="F14" s="584"/>
    </row>
    <row r="15" spans="1:6" ht="48.75" customHeight="1" x14ac:dyDescent="0.3">
      <c r="A15" s="581" t="s">
        <v>145</v>
      </c>
      <c r="B15" s="63" t="s">
        <v>146</v>
      </c>
      <c r="C15" s="583" t="s">
        <v>100</v>
      </c>
      <c r="D15" s="583" t="s">
        <v>148</v>
      </c>
      <c r="E15" s="63" t="s">
        <v>126</v>
      </c>
      <c r="F15" s="583"/>
    </row>
    <row r="16" spans="1:6" x14ac:dyDescent="0.3">
      <c r="A16" s="582"/>
      <c r="B16" s="65" t="s">
        <v>147</v>
      </c>
      <c r="C16" s="584"/>
      <c r="D16" s="584"/>
      <c r="E16" s="65" t="s">
        <v>149</v>
      </c>
      <c r="F16" s="584"/>
    </row>
    <row r="17" spans="1:6" ht="28" x14ac:dyDescent="0.3">
      <c r="A17" s="66" t="s">
        <v>150</v>
      </c>
      <c r="B17" s="67" t="s">
        <v>151</v>
      </c>
      <c r="C17" s="67" t="s">
        <v>100</v>
      </c>
      <c r="D17" s="67" t="s">
        <v>152</v>
      </c>
      <c r="E17" s="67"/>
      <c r="F17" s="67"/>
    </row>
    <row r="18" spans="1:6" ht="40.5" customHeight="1" x14ac:dyDescent="0.3">
      <c r="A18" s="66" t="s">
        <v>153</v>
      </c>
      <c r="B18" s="67" t="s">
        <v>154</v>
      </c>
      <c r="C18" s="67" t="s">
        <v>121</v>
      </c>
      <c r="D18" s="67" t="s">
        <v>155</v>
      </c>
      <c r="E18" s="67"/>
      <c r="F18" s="67"/>
    </row>
    <row r="19" spans="1:6" ht="14.5" x14ac:dyDescent="0.3">
      <c r="A19" s="66" t="s">
        <v>156</v>
      </c>
      <c r="B19" s="67" t="s">
        <v>157</v>
      </c>
      <c r="C19" s="67" t="s">
        <v>158</v>
      </c>
      <c r="D19" s="67" t="s">
        <v>159</v>
      </c>
      <c r="E19" s="67"/>
      <c r="F19" s="67"/>
    </row>
    <row r="20" spans="1:6" ht="30.75" customHeight="1" x14ac:dyDescent="0.3">
      <c r="A20" s="66" t="s">
        <v>160</v>
      </c>
      <c r="B20" s="67" t="s">
        <v>161</v>
      </c>
      <c r="C20" s="67" t="s">
        <v>162</v>
      </c>
      <c r="D20" s="67"/>
      <c r="E20" s="67"/>
      <c r="F20" s="67"/>
    </row>
    <row r="21" spans="1:6" ht="39.75" customHeight="1" x14ac:dyDescent="0.3">
      <c r="A21" s="66" t="s">
        <v>163</v>
      </c>
      <c r="B21" s="67" t="s">
        <v>164</v>
      </c>
      <c r="C21" s="67" t="s">
        <v>165</v>
      </c>
      <c r="D21" s="67" t="s">
        <v>166</v>
      </c>
      <c r="E21" s="67"/>
      <c r="F21" s="67"/>
    </row>
    <row r="22" spans="1:6" ht="36.75" customHeight="1" x14ac:dyDescent="0.3">
      <c r="A22" s="66" t="s">
        <v>167</v>
      </c>
      <c r="B22" s="67" t="s">
        <v>168</v>
      </c>
      <c r="C22" s="67" t="s">
        <v>169</v>
      </c>
      <c r="D22" s="67" t="s">
        <v>166</v>
      </c>
      <c r="E22" s="67"/>
      <c r="F22" s="67"/>
    </row>
    <row r="23" spans="1:6" ht="57.75" customHeight="1" x14ac:dyDescent="0.3">
      <c r="A23" s="581" t="s">
        <v>170</v>
      </c>
      <c r="B23" s="583" t="s">
        <v>171</v>
      </c>
      <c r="C23" s="583" t="s">
        <v>100</v>
      </c>
      <c r="D23" s="63" t="s">
        <v>172</v>
      </c>
      <c r="E23" s="63" t="s">
        <v>174</v>
      </c>
      <c r="F23" s="583"/>
    </row>
    <row r="24" spans="1:6" x14ac:dyDescent="0.3">
      <c r="A24" s="582"/>
      <c r="B24" s="584"/>
      <c r="C24" s="584"/>
      <c r="D24" s="65" t="s">
        <v>173</v>
      </c>
      <c r="E24" s="65" t="s">
        <v>175</v>
      </c>
      <c r="F24" s="584"/>
    </row>
    <row r="25" spans="1:6" x14ac:dyDescent="0.3">
      <c r="A25" s="581" t="s">
        <v>176</v>
      </c>
      <c r="B25" s="583" t="s">
        <v>177</v>
      </c>
      <c r="C25" s="583" t="s">
        <v>178</v>
      </c>
      <c r="D25" s="63" t="s">
        <v>179</v>
      </c>
      <c r="E25" s="583" t="s">
        <v>181</v>
      </c>
      <c r="F25" s="583"/>
    </row>
    <row r="26" spans="1:6" ht="42.75" customHeight="1" x14ac:dyDescent="0.3">
      <c r="A26" s="582"/>
      <c r="B26" s="584"/>
      <c r="C26" s="584"/>
      <c r="D26" s="65" t="s">
        <v>180</v>
      </c>
      <c r="E26" s="584"/>
      <c r="F26" s="584"/>
    </row>
    <row r="27" spans="1:6" ht="40.5" customHeight="1" x14ac:dyDescent="0.3">
      <c r="A27" s="66" t="s">
        <v>182</v>
      </c>
      <c r="B27" s="67" t="s">
        <v>183</v>
      </c>
      <c r="C27" s="67" t="s">
        <v>184</v>
      </c>
      <c r="D27" s="67" t="s">
        <v>185</v>
      </c>
      <c r="E27" s="67" t="s">
        <v>186</v>
      </c>
      <c r="F27" s="67"/>
    </row>
    <row r="28" spans="1:6" ht="35.25" customHeight="1" x14ac:dyDescent="0.3">
      <c r="A28" s="66" t="s">
        <v>187</v>
      </c>
      <c r="B28" s="67" t="s">
        <v>188</v>
      </c>
      <c r="C28" s="67" t="s">
        <v>189</v>
      </c>
      <c r="D28" s="67" t="s">
        <v>190</v>
      </c>
      <c r="E28" s="67"/>
      <c r="F28" s="67"/>
    </row>
    <row r="29" spans="1:6" ht="45" customHeight="1" x14ac:dyDescent="0.3">
      <c r="A29" s="66" t="s">
        <v>191</v>
      </c>
      <c r="B29" s="67" t="s">
        <v>192</v>
      </c>
      <c r="C29" s="67" t="s">
        <v>193</v>
      </c>
      <c r="D29" s="67" t="s">
        <v>194</v>
      </c>
      <c r="E29" s="67"/>
      <c r="F29" s="67"/>
    </row>
    <row r="30" spans="1:6" ht="24" customHeight="1" x14ac:dyDescent="0.3">
      <c r="A30" s="581" t="s">
        <v>195</v>
      </c>
      <c r="B30" s="583" t="s">
        <v>196</v>
      </c>
      <c r="C30" s="583" t="s">
        <v>178</v>
      </c>
      <c r="D30" s="63" t="s">
        <v>197</v>
      </c>
      <c r="E30" s="583" t="s">
        <v>199</v>
      </c>
      <c r="F30" s="583"/>
    </row>
    <row r="31" spans="1:6" ht="25.5" customHeight="1" x14ac:dyDescent="0.3">
      <c r="A31" s="582"/>
      <c r="B31" s="584"/>
      <c r="C31" s="584"/>
      <c r="D31" s="65" t="s">
        <v>198</v>
      </c>
      <c r="E31" s="584"/>
      <c r="F31" s="584"/>
    </row>
    <row r="32" spans="1:6" ht="14.5" x14ac:dyDescent="0.3">
      <c r="A32" s="66" t="s">
        <v>200</v>
      </c>
      <c r="B32" s="67" t="s">
        <v>201</v>
      </c>
      <c r="C32" s="67" t="s">
        <v>137</v>
      </c>
      <c r="D32" s="67" t="s">
        <v>202</v>
      </c>
      <c r="E32" s="67"/>
      <c r="F32" s="67"/>
    </row>
    <row r="33" spans="1:6" ht="42" customHeight="1" x14ac:dyDescent="0.3">
      <c r="A33" s="66" t="s">
        <v>203</v>
      </c>
      <c r="B33" s="67" t="s">
        <v>204</v>
      </c>
      <c r="C33" s="67" t="s">
        <v>178</v>
      </c>
      <c r="D33" s="67" t="s">
        <v>205</v>
      </c>
      <c r="E33" s="67" t="s">
        <v>199</v>
      </c>
      <c r="F33" s="67"/>
    </row>
  </sheetData>
  <mergeCells count="28">
    <mergeCell ref="A13:A14"/>
    <mergeCell ref="B13:B14"/>
    <mergeCell ref="C13:C14"/>
    <mergeCell ref="E13:E14"/>
    <mergeCell ref="F13:F14"/>
    <mergeCell ref="A2:A4"/>
    <mergeCell ref="B2:B4"/>
    <mergeCell ref="C2:C4"/>
    <mergeCell ref="D2:D4"/>
    <mergeCell ref="F2:F4"/>
    <mergeCell ref="A15:A16"/>
    <mergeCell ref="C15:C16"/>
    <mergeCell ref="D15:D16"/>
    <mergeCell ref="F15:F16"/>
    <mergeCell ref="A23:A24"/>
    <mergeCell ref="B23:B24"/>
    <mergeCell ref="C23:C24"/>
    <mergeCell ref="F23:F24"/>
    <mergeCell ref="A30:A31"/>
    <mergeCell ref="B30:B31"/>
    <mergeCell ref="C30:C31"/>
    <mergeCell ref="E30:E31"/>
    <mergeCell ref="F30:F31"/>
    <mergeCell ref="A25:A26"/>
    <mergeCell ref="B25:B26"/>
    <mergeCell ref="C25:C26"/>
    <mergeCell ref="E25:E26"/>
    <mergeCell ref="F25:F26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M187"/>
  <sheetViews>
    <sheetView workbookViewId="0">
      <selection activeCell="M25" sqref="M25"/>
    </sheetView>
  </sheetViews>
  <sheetFormatPr defaultRowHeight="14" x14ac:dyDescent="0.3"/>
  <cols>
    <col min="2" max="2" width="12.08203125" customWidth="1"/>
  </cols>
  <sheetData>
    <row r="1" spans="1:39" x14ac:dyDescent="0.3">
      <c r="A1" s="32" t="s">
        <v>49</v>
      </c>
      <c r="B1" s="6"/>
      <c r="C1" s="6"/>
      <c r="D1" s="6"/>
      <c r="E1" s="6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4" t="s">
        <v>38</v>
      </c>
      <c r="B2" s="5"/>
      <c r="C2" s="6" t="s">
        <v>39</v>
      </c>
      <c r="D2" s="6"/>
      <c r="E2" s="4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">
      <c r="A3" s="7"/>
      <c r="B3" s="8"/>
      <c r="C3" s="9"/>
      <c r="D3" s="9"/>
      <c r="E3" s="7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0" t="s">
        <v>33</v>
      </c>
      <c r="B4" s="11"/>
      <c r="C4" s="12" t="s">
        <v>35</v>
      </c>
      <c r="D4" s="11"/>
      <c r="E4" s="12" t="s">
        <v>36</v>
      </c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 s="10" t="s">
        <v>34</v>
      </c>
      <c r="B5" s="11"/>
      <c r="C5" s="10"/>
      <c r="D5" s="11"/>
      <c r="E5" s="12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s="10" t="s">
        <v>37</v>
      </c>
      <c r="B6" s="11"/>
      <c r="C6" s="10"/>
      <c r="D6" s="11"/>
      <c r="E6" s="12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A7" s="10" t="s">
        <v>31</v>
      </c>
      <c r="B7" s="11"/>
      <c r="C7" s="10"/>
      <c r="D7" s="11"/>
      <c r="E7" s="12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">
      <c r="A8" s="7" t="s">
        <v>32</v>
      </c>
      <c r="B8" s="8"/>
      <c r="C8" s="7"/>
      <c r="D8" s="8"/>
      <c r="E8" s="9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 s="2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 s="28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 s="28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F97"/>
  <sheetViews>
    <sheetView workbookViewId="0">
      <selection activeCell="L30" sqref="L29:L30"/>
    </sheetView>
  </sheetViews>
  <sheetFormatPr defaultRowHeight="14" x14ac:dyDescent="0.3"/>
  <cols>
    <col min="1" max="1" width="16.58203125" customWidth="1"/>
    <col min="2" max="2" width="10.08203125" customWidth="1"/>
  </cols>
  <sheetData>
    <row r="1" spans="1:32" s="1" customFormat="1" x14ac:dyDescent="0.3">
      <c r="A1" s="28" t="s">
        <v>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9">
        <v>1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29">
        <v>2</v>
      </c>
      <c r="B3" s="2" t="s">
        <v>53</v>
      </c>
      <c r="C3" s="30"/>
      <c r="D3" s="2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29">
        <v>3</v>
      </c>
      <c r="B4" s="2" t="s">
        <v>54</v>
      </c>
      <c r="C4" s="30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9">
        <v>4</v>
      </c>
      <c r="B5" s="2" t="s">
        <v>68</v>
      </c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">
      <c r="A6" s="29">
        <v>5</v>
      </c>
      <c r="B6" s="2" t="s">
        <v>64</v>
      </c>
      <c r="C6" s="3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">
      <c r="A7" s="29">
        <v>6</v>
      </c>
      <c r="B7" s="2" t="s">
        <v>66</v>
      </c>
      <c r="C7" s="31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">
      <c r="A8" s="29">
        <v>7</v>
      </c>
      <c r="B8" s="2" t="s">
        <v>55</v>
      </c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9">
        <v>8</v>
      </c>
      <c r="B9" s="2" t="s">
        <v>62</v>
      </c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9">
        <v>9</v>
      </c>
      <c r="B10" s="2" t="s">
        <v>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9">
        <v>10</v>
      </c>
      <c r="B11" s="48" t="s">
        <v>20</v>
      </c>
      <c r="C11" s="3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9">
        <v>11</v>
      </c>
      <c r="B12" s="47" t="s">
        <v>90</v>
      </c>
      <c r="C12" s="3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9">
        <v>12</v>
      </c>
      <c r="B13" s="2" t="s">
        <v>94</v>
      </c>
      <c r="C13" s="3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9">
        <v>13</v>
      </c>
      <c r="B14" s="2"/>
      <c r="C14" s="3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9">
        <v>14</v>
      </c>
      <c r="B15" s="2"/>
      <c r="C15" s="3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9">
        <v>15</v>
      </c>
      <c r="B16" s="2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9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9"/>
      <c r="B19" s="3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9"/>
      <c r="B20" s="3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9"/>
      <c r="B21" s="3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9"/>
      <c r="B22" s="3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9"/>
      <c r="B23" s="3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9"/>
      <c r="B24" s="3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9"/>
      <c r="B25" s="2" t="s">
        <v>67</v>
      </c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</sheetData>
  <phoneticPr fontId="0" type="noConversion"/>
  <hyperlinks>
    <hyperlink ref="B12" r:id="rId1" xr:uid="{00000000-0004-0000-0A00-000000000000}"/>
  </hyperlinks>
  <pageMargins left="0.75" right="0.75" top="1" bottom="1" header="0.5" footer="0.5"/>
  <pageSetup paperSize="9"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Reversible and time-dep inhibit</vt:lpstr>
      <vt:lpstr>induction</vt:lpstr>
      <vt:lpstr>SensitivityAnalysis</vt:lpstr>
      <vt:lpstr>Equations</vt:lpstr>
      <vt:lpstr>Enzymes-fm,CYP from rCYPs</vt:lpstr>
      <vt:lpstr>bloodflowparameters</vt:lpstr>
      <vt:lpstr>humanphysiologparams</vt:lpstr>
      <vt:lpstr>Substrates for various CYPs</vt:lpstr>
      <vt:lpstr>Inhibitors for various CYPs</vt:lpstr>
      <vt:lpstr>Subst, inh &amp; ind-transporters</vt:lpstr>
      <vt:lpstr>UsefulInfo</vt:lpstr>
      <vt:lpstr>References</vt:lpstr>
      <vt:lpstr>Sheet1</vt:lpstr>
      <vt:lpstr>M_compound_is</vt:lpstr>
      <vt:lpstr>'Enzymes-fm,CYP from rCYPs'!Print_Area</vt:lpstr>
      <vt:lpstr>'Reversible and time-dep inhibit'!Print_Area</vt:lpstr>
    </vt:vector>
  </TitlesOfParts>
  <Company>AstraZeneca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Lundborg</dc:creator>
  <cp:lastModifiedBy>Shah,Yash_Ankurbhai (MED BDS) BIP-DE-B</cp:lastModifiedBy>
  <cp:lastPrinted>2009-05-14T15:20:33Z</cp:lastPrinted>
  <dcterms:created xsi:type="dcterms:W3CDTF">2006-01-03T13:28:43Z</dcterms:created>
  <dcterms:modified xsi:type="dcterms:W3CDTF">2024-02-28T12:27:26Z</dcterms:modified>
</cp:coreProperties>
</file>