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GitHub\Life-insurance-pricing-engine\Excel\"/>
    </mc:Choice>
  </mc:AlternateContent>
  <xr:revisionPtr revIDLastSave="0" documentId="13_ncr:1_{F19A5694-4882-412E-BDC6-726FB8694766}" xr6:coauthVersionLast="47" xr6:coauthVersionMax="47" xr10:uidLastSave="{00000000-0000-0000-0000-000000000000}"/>
  <bookViews>
    <workbookView xWindow="-120" yWindow="-120" windowWidth="20730" windowHeight="11160" firstSheet="3" activeTab="8" xr2:uid="{AE73D183-150E-46C3-8B00-5AC90BBD7B11}"/>
  </bookViews>
  <sheets>
    <sheet name="Read_Me" sheetId="1" r:id="rId1"/>
    <sheet name="Inputs" sheetId="6" r:id="rId2"/>
    <sheet name="Mortality_Table" sheetId="7" r:id="rId3"/>
    <sheet name="Calculations" sheetId="8" r:id="rId4"/>
    <sheet name="Premium_Calculations" sheetId="9" r:id="rId5"/>
    <sheet name="Cashflow" sheetId="15" r:id="rId6"/>
    <sheet name="Premium" sheetId="14" r:id="rId7"/>
    <sheet name="Dashboard" sheetId="11" r:id="rId8"/>
    <sheet name="Checks" sheetId="12" r:id="rId9"/>
  </sheets>
  <definedNames>
    <definedName name="_xlnm._FilterDatabase" localSheetId="1" hidden="1">Inputs!#REF!</definedName>
  </definedNames>
  <calcPr calcId="191029" iterate="1" iterateCount="1000" iterateDelta="9.9999999999999995E-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12" l="1"/>
  <c r="E10" i="12"/>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C27" i="14"/>
  <c r="E12" i="12" s="1"/>
  <c r="G86" i="15"/>
  <c r="D15" i="11"/>
  <c r="D16" i="11"/>
  <c r="D17" i="11"/>
  <c r="D18" i="11"/>
  <c r="D14" i="11"/>
  <c r="C23" i="14"/>
  <c r="C24" i="14"/>
  <c r="C25" i="14"/>
  <c r="C26" i="14"/>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D9" i="11"/>
  <c r="D12" i="11"/>
  <c r="D11" i="11"/>
  <c r="D10" i="11"/>
  <c r="D7" i="11"/>
  <c r="D6" i="11"/>
  <c r="D8" i="11"/>
  <c r="D13" i="11"/>
  <c r="E4" i="12"/>
  <c r="E5" i="12"/>
  <c r="E6" i="12"/>
  <c r="E7" i="12"/>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C4" i="15"/>
  <c r="G4" i="8"/>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E5" i="9"/>
  <c r="F4" i="7"/>
  <c r="G4" i="7" s="1"/>
  <c r="C4" i="9"/>
  <c r="C5" i="9" s="1"/>
  <c r="C6" i="9" s="1"/>
  <c r="C7" i="9" s="1"/>
  <c r="C8" i="9" s="1"/>
  <c r="C9" i="9" s="1"/>
  <c r="C10" i="9" s="1"/>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11" i="14"/>
  <c r="C10" i="14"/>
  <c r="C9" i="14"/>
  <c r="C8" i="14"/>
  <c r="C7" i="14"/>
  <c r="C6" i="14"/>
  <c r="C5" i="14"/>
  <c r="C13" i="14"/>
  <c r="C12" i="14"/>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F44" i="9" s="1"/>
  <c r="E45" i="9"/>
  <c r="F45" i="9" s="1"/>
  <c r="E46" i="9"/>
  <c r="F46" i="9" s="1"/>
  <c r="E47" i="9"/>
  <c r="F47" i="9" s="1"/>
  <c r="E48" i="9"/>
  <c r="F48" i="9" s="1"/>
  <c r="E49" i="9"/>
  <c r="F49" i="9" s="1"/>
  <c r="E50" i="9"/>
  <c r="F50" i="9" s="1"/>
  <c r="E51" i="9"/>
  <c r="F51" i="9" s="1"/>
  <c r="E52" i="9"/>
  <c r="F52" i="9" s="1"/>
  <c r="E53" i="9"/>
  <c r="F53" i="9" s="1"/>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4" i="9"/>
  <c r="F4" i="9" s="1"/>
  <c r="D20" i="6"/>
  <c r="C73" i="8"/>
  <c r="D73" i="8"/>
  <c r="G73" i="8"/>
  <c r="C74" i="8"/>
  <c r="D74" i="8"/>
  <c r="G74" i="8"/>
  <c r="C75" i="8"/>
  <c r="D75" i="8"/>
  <c r="G75" i="8"/>
  <c r="C76" i="8"/>
  <c r="D76" i="8"/>
  <c r="G76" i="8"/>
  <c r="C77" i="8"/>
  <c r="D77" i="8"/>
  <c r="G77" i="8"/>
  <c r="C78" i="8"/>
  <c r="D78" i="8"/>
  <c r="G78" i="8"/>
  <c r="C79" i="8"/>
  <c r="D79" i="8"/>
  <c r="G79" i="8"/>
  <c r="C80" i="8"/>
  <c r="D80" i="8"/>
  <c r="G80" i="8"/>
  <c r="C81" i="8"/>
  <c r="D81" i="8"/>
  <c r="G81" i="8"/>
  <c r="C82" i="8"/>
  <c r="D82" i="8"/>
  <c r="G82" i="8"/>
  <c r="C83" i="8"/>
  <c r="D83" i="8"/>
  <c r="G83" i="8"/>
  <c r="C84" i="8"/>
  <c r="D84" i="8"/>
  <c r="G84" i="8"/>
  <c r="C85" i="8"/>
  <c r="D85" i="8"/>
  <c r="G85" i="8"/>
  <c r="C58" i="8"/>
  <c r="D58" i="8"/>
  <c r="G58" i="8"/>
  <c r="C59" i="8"/>
  <c r="D59" i="8"/>
  <c r="G59" i="8"/>
  <c r="C60" i="8"/>
  <c r="D60" i="8"/>
  <c r="G60" i="8"/>
  <c r="C61" i="8"/>
  <c r="D61" i="8"/>
  <c r="G61" i="8"/>
  <c r="C62" i="8"/>
  <c r="D62" i="8"/>
  <c r="G62" i="8"/>
  <c r="C63" i="8"/>
  <c r="D63" i="8"/>
  <c r="G63" i="8"/>
  <c r="C64" i="8"/>
  <c r="D64" i="8"/>
  <c r="G64" i="8"/>
  <c r="C65" i="8"/>
  <c r="D65" i="8"/>
  <c r="G65" i="8"/>
  <c r="C66" i="8"/>
  <c r="D66" i="8"/>
  <c r="G66" i="8"/>
  <c r="C67" i="8"/>
  <c r="D67" i="8"/>
  <c r="G67" i="8"/>
  <c r="C68" i="8"/>
  <c r="D68" i="8"/>
  <c r="G68" i="8"/>
  <c r="C69" i="8"/>
  <c r="D69" i="8"/>
  <c r="G69" i="8"/>
  <c r="C70" i="8"/>
  <c r="D70" i="8"/>
  <c r="G70" i="8"/>
  <c r="C71" i="8"/>
  <c r="D71" i="8"/>
  <c r="G71" i="8"/>
  <c r="C72" i="8"/>
  <c r="D72" i="8"/>
  <c r="G72" i="8"/>
  <c r="C44" i="8"/>
  <c r="D44" i="8"/>
  <c r="G44" i="8"/>
  <c r="C45" i="8"/>
  <c r="D45" i="8"/>
  <c r="G45" i="8"/>
  <c r="C46" i="8"/>
  <c r="D46" i="8"/>
  <c r="G46" i="8"/>
  <c r="C47" i="8"/>
  <c r="D47" i="8"/>
  <c r="G47" i="8"/>
  <c r="C48" i="8"/>
  <c r="D48" i="8"/>
  <c r="G48" i="8"/>
  <c r="C49" i="8"/>
  <c r="D49" i="8"/>
  <c r="G49" i="8"/>
  <c r="C50" i="8"/>
  <c r="D50" i="8"/>
  <c r="G50" i="8"/>
  <c r="C51" i="8"/>
  <c r="D51" i="8"/>
  <c r="G51" i="8"/>
  <c r="C52" i="8"/>
  <c r="D52" i="8"/>
  <c r="G52" i="8"/>
  <c r="C53" i="8"/>
  <c r="D53" i="8"/>
  <c r="G53" i="8"/>
  <c r="C54" i="8"/>
  <c r="D54" i="8"/>
  <c r="G54" i="8"/>
  <c r="C55" i="8"/>
  <c r="D55" i="8"/>
  <c r="G55" i="8"/>
  <c r="C56" i="8"/>
  <c r="D56" i="8"/>
  <c r="G56" i="8"/>
  <c r="C57" i="8"/>
  <c r="D57" i="8"/>
  <c r="G57"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5" i="8"/>
  <c r="C5" i="8"/>
  <c r="D5" i="8" s="1"/>
  <c r="C6" i="8"/>
  <c r="D6" i="8" s="1"/>
  <c r="C7" i="8"/>
  <c r="D7" i="8" s="1"/>
  <c r="C8" i="8"/>
  <c r="D8" i="8" s="1"/>
  <c r="C9" i="8"/>
  <c r="D9" i="8" s="1"/>
  <c r="C10" i="8"/>
  <c r="D10" i="8" s="1"/>
  <c r="C11" i="8"/>
  <c r="D11" i="8" s="1"/>
  <c r="C12" i="8"/>
  <c r="D12" i="8" s="1"/>
  <c r="C13" i="8"/>
  <c r="D13" i="8" s="1"/>
  <c r="C14" i="8"/>
  <c r="D14" i="8" s="1"/>
  <c r="C15" i="8"/>
  <c r="D15" i="8" s="1"/>
  <c r="C16" i="8"/>
  <c r="D16" i="8" s="1"/>
  <c r="C17" i="8"/>
  <c r="D17" i="8" s="1"/>
  <c r="C18" i="8"/>
  <c r="D18" i="8" s="1"/>
  <c r="C19" i="8"/>
  <c r="D19" i="8" s="1"/>
  <c r="C20" i="8"/>
  <c r="D20" i="8" s="1"/>
  <c r="C21" i="8"/>
  <c r="D21" i="8" s="1"/>
  <c r="C22" i="8"/>
  <c r="D22" i="8" s="1"/>
  <c r="C23" i="8"/>
  <c r="D23" i="8" s="1"/>
  <c r="C24" i="8"/>
  <c r="D24" i="8" s="1"/>
  <c r="C25" i="8"/>
  <c r="D25" i="8" s="1"/>
  <c r="C26" i="8"/>
  <c r="D26" i="8" s="1"/>
  <c r="C27" i="8"/>
  <c r="D27" i="8" s="1"/>
  <c r="C28" i="8"/>
  <c r="D28" i="8" s="1"/>
  <c r="C29" i="8"/>
  <c r="D29" i="8" s="1"/>
  <c r="C30" i="8"/>
  <c r="D30" i="8" s="1"/>
  <c r="C31" i="8"/>
  <c r="D31" i="8" s="1"/>
  <c r="C32" i="8"/>
  <c r="D32" i="8" s="1"/>
  <c r="C33" i="8"/>
  <c r="D33" i="8" s="1"/>
  <c r="C34" i="8"/>
  <c r="D34" i="8" s="1"/>
  <c r="C35" i="8"/>
  <c r="D35" i="8" s="1"/>
  <c r="C36" i="8"/>
  <c r="D36" i="8" s="1"/>
  <c r="C37" i="8"/>
  <c r="D37" i="8" s="1"/>
  <c r="C38" i="8"/>
  <c r="D38" i="8" s="1"/>
  <c r="C39" i="8"/>
  <c r="D39" i="8" s="1"/>
  <c r="C40" i="8"/>
  <c r="D40" i="8" s="1"/>
  <c r="C41" i="8"/>
  <c r="D41" i="8" s="1"/>
  <c r="C42" i="8"/>
  <c r="D42" i="8" s="1"/>
  <c r="C43" i="8"/>
  <c r="D43" i="8" s="1"/>
  <c r="C4" i="8"/>
  <c r="D4" i="8" s="1"/>
  <c r="F4" i="8" s="1"/>
  <c r="H4" i="8" s="1"/>
  <c r="E5" i="7"/>
  <c r="F5" i="7" s="1"/>
  <c r="F6" i="7" s="1"/>
  <c r="F7" i="7" s="1"/>
  <c r="F8" i="7" s="1"/>
  <c r="F9" i="7" s="1"/>
  <c r="F10" i="7" s="1"/>
  <c r="F11" i="7" s="1"/>
  <c r="F12" i="7" s="1"/>
  <c r="F13" i="7" s="1"/>
  <c r="F14" i="7" s="1"/>
  <c r="F15" i="7" s="1"/>
  <c r="F16" i="7" s="1"/>
  <c r="F17" i="7" s="1"/>
  <c r="F18" i="7" s="1"/>
  <c r="F19" i="7" s="1"/>
  <c r="F20" i="7" s="1"/>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4" i="7"/>
  <c r="F21" i="7" l="1"/>
  <c r="F22" i="7" s="1"/>
  <c r="F23" i="7" s="1"/>
  <c r="F24" i="7" s="1"/>
  <c r="F25" i="7" s="1"/>
  <c r="F26" i="7" s="1"/>
  <c r="F27" i="7" s="1"/>
  <c r="F28" i="7" s="1"/>
  <c r="F29" i="7" s="1"/>
  <c r="F30" i="7" s="1"/>
  <c r="F31" i="7" s="1"/>
  <c r="F32" i="7" s="1"/>
  <c r="F33" i="7" s="1"/>
  <c r="F34" i="7" s="1"/>
  <c r="F35" i="7" s="1"/>
  <c r="F36" i="7" s="1"/>
  <c r="F37" i="7" s="1"/>
  <c r="F38" i="7" s="1"/>
  <c r="F39" i="7" s="1"/>
  <c r="F40" i="7" s="1"/>
  <c r="F41" i="7" s="1"/>
  <c r="F42" i="7" s="1"/>
  <c r="F43" i="7" s="1"/>
  <c r="F44" i="7" s="1"/>
  <c r="F45" i="7" s="1"/>
  <c r="F46" i="7" s="1"/>
  <c r="F47" i="7" s="1"/>
  <c r="F48" i="7" s="1"/>
  <c r="F49" i="7" s="1"/>
  <c r="F50" i="7" s="1"/>
  <c r="F51" i="7" s="1"/>
  <c r="F52" i="7" s="1"/>
  <c r="F53" i="7" s="1"/>
  <c r="F54" i="7" s="1"/>
  <c r="F55" i="7" s="1"/>
  <c r="F56" i="7" s="1"/>
  <c r="F57" i="7" s="1"/>
  <c r="F58" i="7" s="1"/>
  <c r="F59" i="7" s="1"/>
  <c r="F60" i="7" s="1"/>
  <c r="F61" i="7" s="1"/>
  <c r="F62" i="7" s="1"/>
  <c r="F63" i="7" s="1"/>
  <c r="F64" i="7" s="1"/>
  <c r="F65" i="7" s="1"/>
  <c r="F66" i="7" s="1"/>
  <c r="F67" i="7" s="1"/>
  <c r="F68" i="7" s="1"/>
  <c r="F69" i="7" s="1"/>
  <c r="F70" i="7" s="1"/>
  <c r="F71" i="7" s="1"/>
  <c r="F72" i="7" s="1"/>
  <c r="F73" i="7" s="1"/>
  <c r="F74" i="7" s="1"/>
  <c r="F75" i="7" s="1"/>
  <c r="F76" i="7" s="1"/>
  <c r="F77" i="7" s="1"/>
  <c r="F78" i="7" s="1"/>
  <c r="F79" i="7" s="1"/>
  <c r="F80" i="7" s="1"/>
  <c r="F81" i="7" s="1"/>
  <c r="F82" i="7" s="1"/>
  <c r="F83" i="7" s="1"/>
  <c r="F84" i="7" s="1"/>
  <c r="F85" i="7" s="1"/>
  <c r="F86" i="7" s="1"/>
  <c r="L82" i="15"/>
  <c r="L83" i="15"/>
  <c r="L84" i="15"/>
  <c r="L85"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E86" i="9"/>
  <c r="G86" i="8"/>
  <c r="E4" i="8"/>
  <c r="F5" i="8" s="1"/>
  <c r="I4" i="8"/>
  <c r="J4" i="8" l="1"/>
  <c r="D4" i="9"/>
  <c r="F5" i="9" s="1"/>
  <c r="E5" i="8"/>
  <c r="D5" i="9" s="1"/>
  <c r="F6" i="9" s="1"/>
  <c r="H5" i="8"/>
  <c r="F5" i="15" s="1"/>
  <c r="H4" i="7"/>
  <c r="I4" i="7" s="1"/>
  <c r="G5" i="7"/>
  <c r="F4" i="15" l="1"/>
  <c r="I5" i="8"/>
  <c r="J5" i="8" s="1"/>
  <c r="F6" i="8"/>
  <c r="H6" i="8" s="1"/>
  <c r="E6" i="8"/>
  <c r="D6" i="9" s="1"/>
  <c r="F7" i="9" s="1"/>
  <c r="G6" i="7"/>
  <c r="H5" i="7"/>
  <c r="I5" i="7" s="1"/>
  <c r="F6" i="15" l="1"/>
  <c r="I6" i="8"/>
  <c r="E7" i="8"/>
  <c r="D7" i="9" s="1"/>
  <c r="F8" i="9" s="1"/>
  <c r="F7" i="8"/>
  <c r="H7" i="8" s="1"/>
  <c r="G7" i="7"/>
  <c r="H6" i="7"/>
  <c r="I6" i="7" s="1"/>
  <c r="F7" i="15" l="1"/>
  <c r="J6" i="8"/>
  <c r="I7" i="8"/>
  <c r="J7" i="8" s="1"/>
  <c r="E8" i="8"/>
  <c r="D8" i="9" s="1"/>
  <c r="F9" i="9" s="1"/>
  <c r="F8" i="8"/>
  <c r="G8" i="7"/>
  <c r="H7" i="7"/>
  <c r="I7" i="7" s="1"/>
  <c r="I8" i="8" l="1"/>
  <c r="J8" i="8" s="1"/>
  <c r="H8" i="8"/>
  <c r="E9" i="8"/>
  <c r="D9" i="9" s="1"/>
  <c r="F10" i="9" s="1"/>
  <c r="F9" i="8"/>
  <c r="G9" i="7"/>
  <c r="H8" i="7"/>
  <c r="I8" i="7" s="1"/>
  <c r="F8" i="15" l="1"/>
  <c r="I9" i="8"/>
  <c r="J9" i="8" s="1"/>
  <c r="H9" i="8"/>
  <c r="F9" i="15" s="1"/>
  <c r="E10" i="8"/>
  <c r="D10" i="9" s="1"/>
  <c r="F11" i="9" s="1"/>
  <c r="F10" i="8"/>
  <c r="G10" i="7"/>
  <c r="H9" i="7"/>
  <c r="I9" i="7" s="1"/>
  <c r="I10" i="8" l="1"/>
  <c r="J10" i="8" s="1"/>
  <c r="H10" i="8"/>
  <c r="F10" i="15" s="1"/>
  <c r="E11" i="8"/>
  <c r="D11" i="9" s="1"/>
  <c r="F12" i="9" s="1"/>
  <c r="F11" i="8"/>
  <c r="G11" i="7"/>
  <c r="H10" i="7"/>
  <c r="I10" i="7" s="1"/>
  <c r="I11" i="8" l="1"/>
  <c r="J11" i="8" s="1"/>
  <c r="H11" i="8"/>
  <c r="F11" i="15" s="1"/>
  <c r="E12" i="8"/>
  <c r="D12" i="9" s="1"/>
  <c r="F13" i="9" s="1"/>
  <c r="F12" i="8"/>
  <c r="G12" i="7"/>
  <c r="H11" i="7"/>
  <c r="I11" i="7" s="1"/>
  <c r="I12" i="8" l="1"/>
  <c r="J12" i="8" s="1"/>
  <c r="H12" i="8"/>
  <c r="F12" i="15" s="1"/>
  <c r="E13" i="8"/>
  <c r="D13" i="9" s="1"/>
  <c r="F14" i="9" s="1"/>
  <c r="F13" i="8"/>
  <c r="G13" i="7"/>
  <c r="H12" i="7"/>
  <c r="I12" i="7" s="1"/>
  <c r="I13" i="8" l="1"/>
  <c r="J13" i="8" s="1"/>
  <c r="H13" i="8"/>
  <c r="F13" i="15" s="1"/>
  <c r="E14" i="8"/>
  <c r="D14" i="9" s="1"/>
  <c r="F15" i="9" s="1"/>
  <c r="F14" i="8"/>
  <c r="G14" i="7"/>
  <c r="H13" i="7"/>
  <c r="I13" i="7" s="1"/>
  <c r="I14" i="8" l="1"/>
  <c r="J14" i="8" s="1"/>
  <c r="H14" i="8"/>
  <c r="F14" i="15" s="1"/>
  <c r="E15" i="8"/>
  <c r="D15" i="9" s="1"/>
  <c r="F16" i="9" s="1"/>
  <c r="F15" i="8"/>
  <c r="G15" i="7"/>
  <c r="H14" i="7"/>
  <c r="I14" i="7" s="1"/>
  <c r="I15" i="8" l="1"/>
  <c r="J15" i="8" s="1"/>
  <c r="H15" i="8"/>
  <c r="F15" i="15" s="1"/>
  <c r="E16" i="8"/>
  <c r="D16" i="9" s="1"/>
  <c r="F17" i="9" s="1"/>
  <c r="F16" i="8"/>
  <c r="G16" i="7"/>
  <c r="H15" i="7"/>
  <c r="I15" i="7" s="1"/>
  <c r="I16" i="8" l="1"/>
  <c r="J16" i="8" s="1"/>
  <c r="H16" i="8"/>
  <c r="F16" i="15" s="1"/>
  <c r="E17" i="8"/>
  <c r="D17" i="9" s="1"/>
  <c r="F18" i="9" s="1"/>
  <c r="F17" i="8"/>
  <c r="G17" i="7"/>
  <c r="H16" i="7"/>
  <c r="I16" i="7" s="1"/>
  <c r="I17" i="8" l="1"/>
  <c r="J17" i="8" s="1"/>
  <c r="H17" i="8"/>
  <c r="F17" i="15" s="1"/>
  <c r="E18" i="8"/>
  <c r="D18" i="9" s="1"/>
  <c r="F19" i="9" s="1"/>
  <c r="F18" i="8"/>
  <c r="G18" i="7"/>
  <c r="H17" i="7"/>
  <c r="I17" i="7" s="1"/>
  <c r="I18" i="8" l="1"/>
  <c r="J18" i="8" s="1"/>
  <c r="H18" i="8"/>
  <c r="F18" i="15" s="1"/>
  <c r="E19" i="8"/>
  <c r="F20" i="8" s="1"/>
  <c r="F19" i="8"/>
  <c r="G19" i="7"/>
  <c r="H18" i="7"/>
  <c r="I18" i="7" s="1"/>
  <c r="H20" i="8" l="1"/>
  <c r="F20" i="15" s="1"/>
  <c r="I20" i="8"/>
  <c r="I19" i="8"/>
  <c r="J19" i="8" s="1"/>
  <c r="H19" i="8"/>
  <c r="F19" i="15" s="1"/>
  <c r="E20" i="8"/>
  <c r="F21" i="8" s="1"/>
  <c r="D19" i="9"/>
  <c r="F20" i="9" s="1"/>
  <c r="G20" i="7"/>
  <c r="H19" i="7"/>
  <c r="I19" i="7" s="1"/>
  <c r="J20" i="8" l="1"/>
  <c r="I21" i="8"/>
  <c r="J21" i="8" s="1"/>
  <c r="H21" i="8"/>
  <c r="F21" i="15" s="1"/>
  <c r="D20" i="9"/>
  <c r="F21" i="9" s="1"/>
  <c r="E21" i="8"/>
  <c r="F22" i="8" s="1"/>
  <c r="G21" i="7"/>
  <c r="H20" i="7"/>
  <c r="I20" i="7" s="1"/>
  <c r="I22" i="8" l="1"/>
  <c r="J22" i="8" s="1"/>
  <c r="H22" i="8"/>
  <c r="F22" i="15" s="1"/>
  <c r="D21" i="9"/>
  <c r="F22" i="9" s="1"/>
  <c r="E22" i="8"/>
  <c r="F23" i="8" s="1"/>
  <c r="G22" i="7"/>
  <c r="H21" i="7"/>
  <c r="I21" i="7" s="1"/>
  <c r="I23" i="8" l="1"/>
  <c r="J23" i="8" s="1"/>
  <c r="H23" i="8"/>
  <c r="F23" i="15" s="1"/>
  <c r="D22" i="9"/>
  <c r="F23" i="9" s="1"/>
  <c r="E23" i="8"/>
  <c r="G23" i="7"/>
  <c r="H22" i="7"/>
  <c r="I22" i="7" s="1"/>
  <c r="D23" i="9" l="1"/>
  <c r="F24" i="9" s="1"/>
  <c r="F24" i="8"/>
  <c r="E24" i="8"/>
  <c r="G24" i="7"/>
  <c r="H23" i="7"/>
  <c r="I23" i="7" s="1"/>
  <c r="I24" i="8" l="1"/>
  <c r="J24" i="8" s="1"/>
  <c r="H24" i="8"/>
  <c r="F24" i="15" s="1"/>
  <c r="E25" i="8"/>
  <c r="F25" i="8"/>
  <c r="D24" i="9"/>
  <c r="F25" i="9" s="1"/>
  <c r="G25" i="7"/>
  <c r="H24" i="7"/>
  <c r="I24" i="7" s="1"/>
  <c r="I25" i="8" l="1"/>
  <c r="J25" i="8" s="1"/>
  <c r="H25" i="8"/>
  <c r="F25" i="15" s="1"/>
  <c r="F26" i="8"/>
  <c r="E26" i="8"/>
  <c r="D25" i="9"/>
  <c r="F26" i="9" s="1"/>
  <c r="G26" i="7"/>
  <c r="H25" i="7"/>
  <c r="I25" i="7" s="1"/>
  <c r="I26" i="8" l="1"/>
  <c r="J26" i="8" s="1"/>
  <c r="H26" i="8"/>
  <c r="F26" i="15" s="1"/>
  <c r="E27" i="8"/>
  <c r="F27" i="8"/>
  <c r="D26" i="9"/>
  <c r="F27" i="9" s="1"/>
  <c r="H26" i="7"/>
  <c r="I26" i="7" s="1"/>
  <c r="G27" i="7"/>
  <c r="I27" i="8" l="1"/>
  <c r="J27" i="8" s="1"/>
  <c r="H27" i="8"/>
  <c r="F27" i="15" s="1"/>
  <c r="E28" i="8"/>
  <c r="F28" i="8"/>
  <c r="D27" i="9"/>
  <c r="F28" i="9" s="1"/>
  <c r="H27" i="7"/>
  <c r="I27" i="7" s="1"/>
  <c r="G28" i="7"/>
  <c r="I28" i="8" l="1"/>
  <c r="J28" i="8" s="1"/>
  <c r="H28" i="8"/>
  <c r="F28" i="15" s="1"/>
  <c r="E29" i="8"/>
  <c r="F29" i="8"/>
  <c r="D28" i="9"/>
  <c r="F29" i="9" s="1"/>
  <c r="G29" i="7"/>
  <c r="H28" i="7"/>
  <c r="I28" i="7" s="1"/>
  <c r="I29" i="8" l="1"/>
  <c r="J29" i="8" s="1"/>
  <c r="H29" i="8"/>
  <c r="F29" i="15" s="1"/>
  <c r="E30" i="8"/>
  <c r="F30" i="8"/>
  <c r="D29" i="9"/>
  <c r="F30" i="9" s="1"/>
  <c r="G30" i="7"/>
  <c r="H29" i="7"/>
  <c r="I29" i="7" s="1"/>
  <c r="I30" i="8" l="1"/>
  <c r="J30" i="8" s="1"/>
  <c r="H30" i="8"/>
  <c r="F30" i="15" s="1"/>
  <c r="F31" i="8"/>
  <c r="E31" i="8"/>
  <c r="D30" i="9"/>
  <c r="F31" i="9" s="1"/>
  <c r="G31" i="7"/>
  <c r="H30" i="7"/>
  <c r="I30" i="7" s="1"/>
  <c r="I31" i="8" l="1"/>
  <c r="J31" i="8" s="1"/>
  <c r="H31" i="8"/>
  <c r="F31" i="15" s="1"/>
  <c r="F32" i="8"/>
  <c r="E32" i="8"/>
  <c r="D31" i="9"/>
  <c r="F32" i="9" s="1"/>
  <c r="G32" i="7"/>
  <c r="H31" i="7"/>
  <c r="I31" i="7" s="1"/>
  <c r="I32" i="8" l="1"/>
  <c r="J32" i="8" s="1"/>
  <c r="H32" i="8"/>
  <c r="F32" i="15" s="1"/>
  <c r="F33" i="8"/>
  <c r="E33" i="8"/>
  <c r="D32" i="9"/>
  <c r="F33" i="9" s="1"/>
  <c r="G33" i="7"/>
  <c r="H32" i="7"/>
  <c r="I32" i="7" s="1"/>
  <c r="I33" i="8" l="1"/>
  <c r="J33" i="8" s="1"/>
  <c r="H33" i="8"/>
  <c r="F33" i="15" s="1"/>
  <c r="F34" i="8"/>
  <c r="E34" i="8"/>
  <c r="D33" i="9"/>
  <c r="F34" i="9" s="1"/>
  <c r="G34" i="7"/>
  <c r="H33" i="7"/>
  <c r="I33" i="7" s="1"/>
  <c r="I34" i="8" l="1"/>
  <c r="J34" i="8" s="1"/>
  <c r="H34" i="8"/>
  <c r="F34" i="15" s="1"/>
  <c r="E35" i="8"/>
  <c r="F35" i="8"/>
  <c r="D34" i="9"/>
  <c r="F35" i="9" s="1"/>
  <c r="G35" i="7"/>
  <c r="H34" i="7"/>
  <c r="I34" i="7" s="1"/>
  <c r="I35" i="8" l="1"/>
  <c r="J35" i="8" s="1"/>
  <c r="H35" i="8"/>
  <c r="F35" i="15" s="1"/>
  <c r="E36" i="8"/>
  <c r="F36" i="8"/>
  <c r="D35" i="9"/>
  <c r="F36" i="9" s="1"/>
  <c r="G36" i="7"/>
  <c r="H35" i="7"/>
  <c r="I35" i="7" s="1"/>
  <c r="I36" i="8" l="1"/>
  <c r="J36" i="8" s="1"/>
  <c r="H36" i="8"/>
  <c r="F36" i="15" s="1"/>
  <c r="F37" i="8"/>
  <c r="E37" i="8"/>
  <c r="D36" i="9"/>
  <c r="F37" i="9" s="1"/>
  <c r="G37" i="7"/>
  <c r="H36" i="7"/>
  <c r="I36" i="7" s="1"/>
  <c r="I37" i="8" l="1"/>
  <c r="J37" i="8" s="1"/>
  <c r="H37" i="8"/>
  <c r="F37" i="15" s="1"/>
  <c r="F38" i="8"/>
  <c r="E38" i="8"/>
  <c r="D37" i="9"/>
  <c r="F38" i="9" s="1"/>
  <c r="G38" i="7"/>
  <c r="H37" i="7"/>
  <c r="I37" i="7" s="1"/>
  <c r="I38" i="8" l="1"/>
  <c r="J38" i="8" s="1"/>
  <c r="H38" i="8"/>
  <c r="F38" i="15" s="1"/>
  <c r="E39" i="8"/>
  <c r="F39" i="8"/>
  <c r="D38" i="9"/>
  <c r="F39" i="9" s="1"/>
  <c r="G39" i="7"/>
  <c r="H38" i="7"/>
  <c r="I38" i="7" s="1"/>
  <c r="I39" i="8" l="1"/>
  <c r="J39" i="8" s="1"/>
  <c r="H39" i="8"/>
  <c r="F39" i="15" s="1"/>
  <c r="F40" i="8"/>
  <c r="E40" i="8"/>
  <c r="D39" i="9"/>
  <c r="F40" i="9" s="1"/>
  <c r="G40" i="7"/>
  <c r="H39" i="7"/>
  <c r="I39" i="7" s="1"/>
  <c r="I40" i="8" l="1"/>
  <c r="J40" i="8" s="1"/>
  <c r="H40" i="8"/>
  <c r="F40" i="15" s="1"/>
  <c r="F41" i="8"/>
  <c r="E41" i="8"/>
  <c r="D40" i="9"/>
  <c r="F41" i="9" s="1"/>
  <c r="G41" i="7"/>
  <c r="H40" i="7"/>
  <c r="I40" i="7" s="1"/>
  <c r="I41" i="8" l="1"/>
  <c r="J41" i="8" s="1"/>
  <c r="H41" i="8"/>
  <c r="F41" i="15" s="1"/>
  <c r="E42" i="8"/>
  <c r="F42" i="8"/>
  <c r="D41" i="9"/>
  <c r="F42" i="9" s="1"/>
  <c r="H41" i="7"/>
  <c r="I41" i="7" s="1"/>
  <c r="G42" i="7"/>
  <c r="I42" i="8" l="1"/>
  <c r="J42" i="8" s="1"/>
  <c r="H42" i="8"/>
  <c r="F42" i="15" s="1"/>
  <c r="E43" i="8"/>
  <c r="F43" i="8"/>
  <c r="D42" i="9"/>
  <c r="F43" i="9" s="1"/>
  <c r="F86" i="9" s="1"/>
  <c r="C18" i="14" s="1"/>
  <c r="E14" i="12" s="1"/>
  <c r="G43" i="7"/>
  <c r="H42" i="7"/>
  <c r="I42" i="7" s="1"/>
  <c r="I43" i="8" l="1"/>
  <c r="J43" i="8" s="1"/>
  <c r="H43" i="8"/>
  <c r="F43" i="15" s="1"/>
  <c r="E44" i="8"/>
  <c r="F44" i="8"/>
  <c r="D43" i="9"/>
  <c r="H43" i="7"/>
  <c r="I43" i="7" s="1"/>
  <c r="G44" i="7"/>
  <c r="I44" i="8" l="1"/>
  <c r="J44" i="8" s="1"/>
  <c r="H44" i="8"/>
  <c r="F44" i="15" s="1"/>
  <c r="E45" i="8"/>
  <c r="F45" i="8"/>
  <c r="D44" i="9"/>
  <c r="G45" i="7"/>
  <c r="H44" i="7"/>
  <c r="I44" i="7" s="1"/>
  <c r="I45" i="8" l="1"/>
  <c r="J45" i="8" s="1"/>
  <c r="H45" i="8"/>
  <c r="F45" i="15" s="1"/>
  <c r="F46" i="8"/>
  <c r="E46" i="8"/>
  <c r="D45" i="9"/>
  <c r="G46" i="7"/>
  <c r="H45" i="7"/>
  <c r="I45" i="7" s="1"/>
  <c r="I46" i="8" l="1"/>
  <c r="J46" i="8" s="1"/>
  <c r="H46" i="8"/>
  <c r="F46" i="15" s="1"/>
  <c r="E47" i="8"/>
  <c r="F47" i="8"/>
  <c r="D46" i="9"/>
  <c r="H46" i="7"/>
  <c r="I46" i="7" s="1"/>
  <c r="G47" i="7"/>
  <c r="I47" i="8" l="1"/>
  <c r="J47" i="8" s="1"/>
  <c r="H47" i="8"/>
  <c r="F47" i="15" s="1"/>
  <c r="E48" i="8"/>
  <c r="F48" i="8"/>
  <c r="D47" i="9"/>
  <c r="H47" i="7"/>
  <c r="I47" i="7" s="1"/>
  <c r="G48" i="7"/>
  <c r="I48" i="8" l="1"/>
  <c r="J48" i="8" s="1"/>
  <c r="H48" i="8"/>
  <c r="F48" i="15" s="1"/>
  <c r="F49" i="8"/>
  <c r="E49" i="8"/>
  <c r="D48" i="9"/>
  <c r="G49" i="7"/>
  <c r="H48" i="7"/>
  <c r="I48" i="7" s="1"/>
  <c r="I49" i="8" l="1"/>
  <c r="J49" i="8" s="1"/>
  <c r="H49" i="8"/>
  <c r="F49" i="15" s="1"/>
  <c r="E50" i="8"/>
  <c r="F50" i="8"/>
  <c r="D49" i="9"/>
  <c r="H49" i="7"/>
  <c r="I49" i="7" s="1"/>
  <c r="G50" i="7"/>
  <c r="I50" i="8" l="1"/>
  <c r="J50" i="8" s="1"/>
  <c r="H50" i="8"/>
  <c r="F50" i="15" s="1"/>
  <c r="F51" i="8"/>
  <c r="E51" i="8"/>
  <c r="D50" i="9"/>
  <c r="G51" i="7"/>
  <c r="H50" i="7"/>
  <c r="I50" i="7" s="1"/>
  <c r="I51" i="8" l="1"/>
  <c r="H51" i="8"/>
  <c r="F51" i="15" s="1"/>
  <c r="F52" i="8"/>
  <c r="E52" i="8"/>
  <c r="D51" i="9"/>
  <c r="H51" i="7"/>
  <c r="I51" i="7" s="1"/>
  <c r="G52" i="7"/>
  <c r="J51" i="8" l="1"/>
  <c r="I52" i="8"/>
  <c r="H52" i="8"/>
  <c r="F52" i="15" s="1"/>
  <c r="F53" i="8"/>
  <c r="E53" i="8"/>
  <c r="D52" i="9"/>
  <c r="G53" i="7"/>
  <c r="H52" i="7"/>
  <c r="I52" i="7" s="1"/>
  <c r="J52" i="8" l="1"/>
  <c r="D53" i="9"/>
  <c r="E54" i="8"/>
  <c r="F54" i="8"/>
  <c r="I53" i="8"/>
  <c r="H53" i="8"/>
  <c r="H53" i="7"/>
  <c r="I53" i="7" s="1"/>
  <c r="G54" i="7"/>
  <c r="F55" i="8" l="1"/>
  <c r="E55" i="8"/>
  <c r="D54" i="9"/>
  <c r="H54" i="8"/>
  <c r="I54" i="8"/>
  <c r="J54" i="8" s="1"/>
  <c r="J53" i="8"/>
  <c r="F53" i="15"/>
  <c r="G55" i="7"/>
  <c r="H54" i="7"/>
  <c r="I54" i="7" s="1"/>
  <c r="H55" i="8" l="1"/>
  <c r="F55" i="15" s="1"/>
  <c r="I55" i="8"/>
  <c r="F56" i="8"/>
  <c r="E56" i="8"/>
  <c r="D55" i="9"/>
  <c r="F54" i="15"/>
  <c r="H55" i="7"/>
  <c r="I55" i="7" s="1"/>
  <c r="G56" i="7"/>
  <c r="J55" i="8" l="1"/>
  <c r="H56" i="8"/>
  <c r="I56" i="8"/>
  <c r="E57" i="8"/>
  <c r="F57" i="8"/>
  <c r="D56" i="9"/>
  <c r="G57" i="7"/>
  <c r="H56" i="7"/>
  <c r="I56" i="7" s="1"/>
  <c r="F56" i="15" l="1"/>
  <c r="E58" i="8"/>
  <c r="F58" i="8"/>
  <c r="D57" i="9"/>
  <c r="H57" i="8"/>
  <c r="I57" i="8"/>
  <c r="J56" i="8"/>
  <c r="G58" i="7"/>
  <c r="H57" i="7"/>
  <c r="I57" i="7" s="1"/>
  <c r="F59" i="8" l="1"/>
  <c r="E59" i="8"/>
  <c r="D58" i="9"/>
  <c r="H58" i="8"/>
  <c r="I58" i="8"/>
  <c r="F57" i="15"/>
  <c r="J57" i="8"/>
  <c r="G59" i="7"/>
  <c r="H58" i="7"/>
  <c r="I58" i="7" s="1"/>
  <c r="H59" i="8" l="1"/>
  <c r="F59" i="15" s="1"/>
  <c r="I59" i="8"/>
  <c r="F60" i="8"/>
  <c r="E60" i="8"/>
  <c r="D59" i="9"/>
  <c r="J58" i="8"/>
  <c r="F58" i="15"/>
  <c r="G60" i="7"/>
  <c r="H59" i="7"/>
  <c r="I59" i="7" s="1"/>
  <c r="J59" i="8" l="1"/>
  <c r="H60" i="8"/>
  <c r="F60" i="15" s="1"/>
  <c r="I60" i="8"/>
  <c r="E61" i="8"/>
  <c r="F61" i="8"/>
  <c r="D60" i="9"/>
  <c r="G61" i="7"/>
  <c r="H60" i="7"/>
  <c r="I60" i="7" s="1"/>
  <c r="J60" i="8" l="1"/>
  <c r="E62" i="8"/>
  <c r="F62" i="8"/>
  <c r="D61" i="9"/>
  <c r="H61" i="8"/>
  <c r="F61" i="15" s="1"/>
  <c r="I61" i="8"/>
  <c r="J61" i="8" s="1"/>
  <c r="G62" i="7"/>
  <c r="H61" i="7"/>
  <c r="I61" i="7" s="1"/>
  <c r="E63" i="8" l="1"/>
  <c r="F63" i="8"/>
  <c r="D62" i="9"/>
  <c r="H62" i="8"/>
  <c r="F62" i="15" s="1"/>
  <c r="I62" i="8"/>
  <c r="J62" i="8" s="1"/>
  <c r="G63" i="7"/>
  <c r="H62" i="7"/>
  <c r="I62" i="7" s="1"/>
  <c r="D63" i="9" l="1"/>
  <c r="E64" i="8"/>
  <c r="F64" i="8"/>
  <c r="H63" i="8"/>
  <c r="I63" i="8"/>
  <c r="G64" i="7"/>
  <c r="H63" i="7"/>
  <c r="I63" i="7" s="1"/>
  <c r="F65" i="8" l="1"/>
  <c r="E65" i="8"/>
  <c r="D64" i="9"/>
  <c r="H64" i="8"/>
  <c r="F64" i="15" s="1"/>
  <c r="I64" i="8"/>
  <c r="J64" i="8" s="1"/>
  <c r="J63" i="8"/>
  <c r="F63" i="15"/>
  <c r="G65" i="7"/>
  <c r="H64" i="7"/>
  <c r="I64" i="7" s="1"/>
  <c r="H65" i="8" l="1"/>
  <c r="I65" i="8"/>
  <c r="J65" i="8" s="1"/>
  <c r="E66" i="8"/>
  <c r="F66" i="8"/>
  <c r="D65" i="9"/>
  <c r="H65" i="7"/>
  <c r="I65" i="7" s="1"/>
  <c r="G66" i="7"/>
  <c r="F65" i="15" l="1"/>
  <c r="E67" i="8"/>
  <c r="F67" i="8"/>
  <c r="D66" i="9"/>
  <c r="H66" i="8"/>
  <c r="I66" i="8"/>
  <c r="J66" i="8" s="1"/>
  <c r="G67" i="7"/>
  <c r="H66" i="7"/>
  <c r="I66" i="7" s="1"/>
  <c r="F68" i="8" l="1"/>
  <c r="E68" i="8"/>
  <c r="D67" i="9"/>
  <c r="H67" i="8"/>
  <c r="F67" i="15" s="1"/>
  <c r="I67" i="8"/>
  <c r="J67" i="8" s="1"/>
  <c r="F66" i="15"/>
  <c r="H67" i="7"/>
  <c r="I67" i="7" s="1"/>
  <c r="G68" i="7"/>
  <c r="H68" i="8" l="1"/>
  <c r="I68" i="8"/>
  <c r="J68" i="8" s="1"/>
  <c r="E69" i="8"/>
  <c r="F69" i="8"/>
  <c r="D68" i="9"/>
  <c r="G69" i="7"/>
  <c r="H68" i="7"/>
  <c r="I68" i="7" s="1"/>
  <c r="F68" i="15" l="1"/>
  <c r="E70" i="8"/>
  <c r="F70" i="8"/>
  <c r="D69" i="9"/>
  <c r="H69" i="8"/>
  <c r="I69" i="8"/>
  <c r="J69" i="8" s="1"/>
  <c r="G70" i="7"/>
  <c r="H69" i="7"/>
  <c r="I69" i="7" s="1"/>
  <c r="F71" i="8" l="1"/>
  <c r="E71" i="8"/>
  <c r="D70" i="9"/>
  <c r="H70" i="8"/>
  <c r="F70" i="15" s="1"/>
  <c r="I70" i="8"/>
  <c r="J70" i="8" s="1"/>
  <c r="F69" i="15"/>
  <c r="G71" i="7"/>
  <c r="H70" i="7"/>
  <c r="I70" i="7" s="1"/>
  <c r="H71" i="8" l="1"/>
  <c r="F71" i="15" s="1"/>
  <c r="I71" i="8"/>
  <c r="J71" i="8" s="1"/>
  <c r="F72" i="8"/>
  <c r="E72" i="8"/>
  <c r="D71" i="9"/>
  <c r="G72" i="7"/>
  <c r="H71" i="7"/>
  <c r="I71" i="7" s="1"/>
  <c r="H72" i="8" l="1"/>
  <c r="F72" i="15" s="1"/>
  <c r="I72" i="8"/>
  <c r="J72" i="8" s="1"/>
  <c r="E73" i="8"/>
  <c r="F73" i="8"/>
  <c r="D72" i="9"/>
  <c r="G73" i="7"/>
  <c r="H72" i="7"/>
  <c r="I72" i="7" s="1"/>
  <c r="F74" i="8" l="1"/>
  <c r="E74" i="8"/>
  <c r="D73" i="9"/>
  <c r="H73" i="8"/>
  <c r="F73" i="15" s="1"/>
  <c r="I73" i="8"/>
  <c r="J73" i="8" s="1"/>
  <c r="G74" i="7"/>
  <c r="H73" i="7"/>
  <c r="I73" i="7" s="1"/>
  <c r="H74" i="8" l="1"/>
  <c r="F74" i="15" s="1"/>
  <c r="I74" i="8"/>
  <c r="J74" i="8" s="1"/>
  <c r="E75" i="8"/>
  <c r="F75" i="8"/>
  <c r="D74" i="9"/>
  <c r="G75" i="7"/>
  <c r="H74" i="7"/>
  <c r="I74" i="7" s="1"/>
  <c r="E76" i="8" l="1"/>
  <c r="F76" i="8"/>
  <c r="D75" i="9"/>
  <c r="H75" i="8"/>
  <c r="F75" i="15" s="1"/>
  <c r="I75" i="8"/>
  <c r="J75" i="8" s="1"/>
  <c r="G76" i="7"/>
  <c r="H75" i="7"/>
  <c r="I75" i="7" s="1"/>
  <c r="F77" i="8" l="1"/>
  <c r="E77" i="8"/>
  <c r="D76" i="9"/>
  <c r="H76" i="8"/>
  <c r="F76" i="15" s="1"/>
  <c r="I76" i="8"/>
  <c r="J76" i="8" s="1"/>
  <c r="G77" i="7"/>
  <c r="H76" i="7"/>
  <c r="I76" i="7" s="1"/>
  <c r="H77" i="8" l="1"/>
  <c r="F77" i="15" s="1"/>
  <c r="I77" i="8"/>
  <c r="J77" i="8" s="1"/>
  <c r="E78" i="8"/>
  <c r="F78" i="8"/>
  <c r="D77" i="9"/>
  <c r="G78" i="7"/>
  <c r="H77" i="7"/>
  <c r="I77" i="7" s="1"/>
  <c r="F79" i="8" l="1"/>
  <c r="E79" i="8"/>
  <c r="D78" i="9"/>
  <c r="H78" i="8"/>
  <c r="F78" i="15" s="1"/>
  <c r="I78" i="8"/>
  <c r="G79" i="7"/>
  <c r="H78" i="7"/>
  <c r="I78" i="7" s="1"/>
  <c r="H79" i="8" l="1"/>
  <c r="F79" i="15" s="1"/>
  <c r="I79" i="8"/>
  <c r="E80" i="8"/>
  <c r="F80" i="8"/>
  <c r="D79" i="9"/>
  <c r="J78" i="8"/>
  <c r="G80" i="7"/>
  <c r="H79" i="7"/>
  <c r="I79" i="7" s="1"/>
  <c r="J79" i="8" l="1"/>
  <c r="F81" i="8"/>
  <c r="E81" i="8"/>
  <c r="D80" i="9"/>
  <c r="H80" i="8"/>
  <c r="F80" i="15" s="1"/>
  <c r="I80" i="8"/>
  <c r="G81" i="7"/>
  <c r="H80" i="7"/>
  <c r="I80" i="7" s="1"/>
  <c r="H81" i="8" l="1"/>
  <c r="F81" i="15" s="1"/>
  <c r="I81" i="8"/>
  <c r="F82" i="8"/>
  <c r="E82" i="8"/>
  <c r="D81" i="9"/>
  <c r="J80" i="8"/>
  <c r="G82" i="7"/>
  <c r="H81" i="7"/>
  <c r="I81" i="7" s="1"/>
  <c r="J81" i="8" l="1"/>
  <c r="H82" i="8"/>
  <c r="F82" i="15" s="1"/>
  <c r="I82" i="8"/>
  <c r="F83" i="8"/>
  <c r="E83" i="8"/>
  <c r="D82" i="9"/>
  <c r="G83" i="7"/>
  <c r="H82" i="7"/>
  <c r="I82" i="7" s="1"/>
  <c r="D83" i="9" l="1"/>
  <c r="E84" i="8"/>
  <c r="F84" i="8"/>
  <c r="J82" i="8"/>
  <c r="H83" i="8"/>
  <c r="I83" i="8"/>
  <c r="G84" i="7"/>
  <c r="H83" i="7"/>
  <c r="I83" i="7" s="1"/>
  <c r="E85" i="8" l="1"/>
  <c r="D85" i="9" s="1"/>
  <c r="F85" i="8"/>
  <c r="F86" i="8" s="1"/>
  <c r="D84" i="9"/>
  <c r="H84" i="8"/>
  <c r="F84" i="15" s="1"/>
  <c r="I84" i="8"/>
  <c r="F83" i="15"/>
  <c r="J83" i="8"/>
  <c r="G85" i="7"/>
  <c r="H84" i="7"/>
  <c r="I84" i="7" s="1"/>
  <c r="I85" i="8" l="1"/>
  <c r="I86" i="8" s="1"/>
  <c r="C17" i="14" s="1"/>
  <c r="H85" i="8"/>
  <c r="J85" i="8"/>
  <c r="J84" i="8"/>
  <c r="G86" i="7"/>
  <c r="H85" i="7"/>
  <c r="I85" i="7" s="1"/>
  <c r="H86" i="7"/>
  <c r="I86" i="7" s="1"/>
  <c r="E13" i="12" l="1"/>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 i="9"/>
  <c r="L6" i="11"/>
  <c r="C19" i="14"/>
  <c r="H86" i="8"/>
  <c r="F85" i="15"/>
  <c r="F86" i="15" s="1"/>
  <c r="F6" i="11" l="1"/>
  <c r="E8" i="12"/>
  <c r="G86" i="9"/>
  <c r="D49" i="15" l="1"/>
  <c r="D50" i="15"/>
  <c r="D52" i="15"/>
  <c r="D53" i="15"/>
  <c r="D51" i="15"/>
  <c r="D44" i="15"/>
  <c r="D45" i="15"/>
  <c r="D46" i="15"/>
  <c r="D47" i="15"/>
  <c r="D48" i="15"/>
  <c r="L44" i="15" l="1"/>
  <c r="L45" i="15"/>
  <c r="L46" i="15"/>
  <c r="L47" i="15"/>
  <c r="L48" i="15"/>
  <c r="L49" i="15"/>
  <c r="L50" i="15"/>
  <c r="L51" i="15"/>
  <c r="L52" i="15"/>
  <c r="L53" i="15"/>
  <c r="M55" i="15" l="1"/>
  <c r="M56" i="15" l="1"/>
  <c r="M59" i="15"/>
  <c r="M57" i="15" l="1"/>
  <c r="M60" i="15"/>
  <c r="M63" i="15"/>
  <c r="M58" i="15" l="1"/>
  <c r="M61" i="15"/>
  <c r="M64" i="15"/>
  <c r="M65" i="15"/>
  <c r="M62" i="15" l="1"/>
  <c r="M66" i="15"/>
  <c r="M67" i="15" l="1"/>
  <c r="M68" i="15"/>
  <c r="M69" i="15" l="1"/>
  <c r="M70" i="15" l="1"/>
  <c r="M74" i="15"/>
  <c r="M71" i="15" l="1"/>
  <c r="M75" i="15"/>
  <c r="M77" i="15"/>
  <c r="M72" i="15" l="1"/>
  <c r="M76" i="15"/>
  <c r="M78" i="15"/>
  <c r="M85" i="15"/>
  <c r="C5" i="15"/>
  <c r="C6" i="15" s="1"/>
  <c r="C7" i="15" s="1"/>
  <c r="C8" i="15" s="1"/>
  <c r="C9" i="15" s="1"/>
  <c r="C10" i="15" s="1"/>
  <c r="C11" i="15" s="1"/>
  <c r="C12" i="15" s="1"/>
  <c r="C13" i="15" s="1"/>
  <c r="C14" i="15" s="1"/>
  <c r="C15" i="15" s="1"/>
  <c r="C16" i="15" s="1"/>
  <c r="C17" i="15" s="1"/>
  <c r="C18" i="15" s="1"/>
  <c r="C19" i="15" s="1"/>
  <c r="C20" i="15" s="1"/>
  <c r="C21" i="15" s="1"/>
  <c r="C22" i="15" s="1"/>
  <c r="C23" i="15" s="1"/>
  <c r="C24" i="15" s="1"/>
  <c r="C25" i="15" s="1"/>
  <c r="C26" i="15" s="1"/>
  <c r="C27" i="15" s="1"/>
  <c r="C28" i="15" s="1"/>
  <c r="C29" i="15" s="1"/>
  <c r="C30" i="15" s="1"/>
  <c r="C31" i="15" s="1"/>
  <c r="C32" i="15" s="1"/>
  <c r="C33" i="15" s="1"/>
  <c r="C34" i="15" s="1"/>
  <c r="C35" i="15" s="1"/>
  <c r="C36" i="15" s="1"/>
  <c r="C37" i="15" s="1"/>
  <c r="C38" i="15" s="1"/>
  <c r="C39" i="15" s="1"/>
  <c r="C40" i="15" s="1"/>
  <c r="C41" i="15" s="1"/>
  <c r="C42" i="15" s="1"/>
  <c r="C43" i="15" s="1"/>
  <c r="C44" i="15" s="1"/>
  <c r="C45" i="15" s="1"/>
  <c r="C46" i="15" s="1"/>
  <c r="C47" i="15" s="1"/>
  <c r="C48" i="15" s="1"/>
  <c r="C49" i="15" s="1"/>
  <c r="C50" i="15" s="1"/>
  <c r="C51" i="15" s="1"/>
  <c r="C52" i="15" s="1"/>
  <c r="C53" i="15" s="1"/>
  <c r="C54" i="15" s="1"/>
  <c r="C55" i="15" s="1"/>
  <c r="C56" i="15" s="1"/>
  <c r="C57" i="15" s="1"/>
  <c r="C58" i="15" s="1"/>
  <c r="C59" i="15" s="1"/>
  <c r="C60" i="15" s="1"/>
  <c r="C61" i="15" s="1"/>
  <c r="C62" i="15" s="1"/>
  <c r="C63" i="15" s="1"/>
  <c r="C64" i="15" s="1"/>
  <c r="C65" i="15" s="1"/>
  <c r="C66" i="15" s="1"/>
  <c r="C67" i="15" s="1"/>
  <c r="C68" i="15" s="1"/>
  <c r="C69" i="15" s="1"/>
  <c r="C70" i="15" s="1"/>
  <c r="C71" i="15" s="1"/>
  <c r="C72" i="15" s="1"/>
  <c r="C73" i="15" s="1"/>
  <c r="C74" i="15" s="1"/>
  <c r="C75" i="15" s="1"/>
  <c r="C76" i="15" s="1"/>
  <c r="C77" i="15" s="1"/>
  <c r="C78" i="15" s="1"/>
  <c r="C79" i="15" s="1"/>
  <c r="C80" i="15" s="1"/>
  <c r="C81" i="15" s="1"/>
  <c r="C82" i="15" s="1"/>
  <c r="C83" i="15" s="1"/>
  <c r="C84" i="15" s="1"/>
  <c r="C85" i="15" s="1"/>
  <c r="M73" i="15" l="1"/>
  <c r="M79" i="15"/>
  <c r="M80" i="15" l="1"/>
  <c r="M81" i="15" l="1"/>
  <c r="M82" i="15" l="1"/>
  <c r="M83" i="15"/>
  <c r="M84" i="15" l="1"/>
  <c r="M45" i="15" l="1"/>
  <c r="M46" i="15" l="1"/>
  <c r="M47" i="15" l="1"/>
  <c r="M48" i="15" l="1"/>
  <c r="M49" i="15" l="1"/>
  <c r="M50" i="15" l="1"/>
  <c r="M51" i="15" l="1"/>
  <c r="M52" i="15" l="1"/>
  <c r="M53" i="15" l="1"/>
  <c r="M54" i="15" l="1"/>
  <c r="M44" i="15" l="1"/>
  <c r="M44" i="9" l="1"/>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D24" i="15"/>
  <c r="I24" i="15"/>
  <c r="K24" i="15"/>
  <c r="L24" i="15"/>
  <c r="D25" i="15"/>
  <c r="L25" i="15" s="1"/>
  <c r="I25" i="15"/>
  <c r="K25" i="15"/>
  <c r="D26" i="15"/>
  <c r="I26" i="15"/>
  <c r="K26" i="15"/>
  <c r="L26" i="15"/>
  <c r="D27" i="15"/>
  <c r="I27" i="15"/>
  <c r="K27" i="15"/>
  <c r="L27" i="15"/>
  <c r="D28" i="15"/>
  <c r="I28" i="15"/>
  <c r="K28" i="15"/>
  <c r="L28" i="15"/>
  <c r="D29" i="15"/>
  <c r="I29" i="15"/>
  <c r="K29" i="15"/>
  <c r="L29" i="15"/>
  <c r="D30" i="15"/>
  <c r="I30" i="15"/>
  <c r="K30" i="15"/>
  <c r="L30" i="15"/>
  <c r="D31" i="15"/>
  <c r="I31" i="15"/>
  <c r="K31" i="15"/>
  <c r="L31" i="15"/>
  <c r="D32" i="15"/>
  <c r="I32" i="15"/>
  <c r="K32" i="15"/>
  <c r="L32" i="15"/>
  <c r="D33" i="15"/>
  <c r="I33" i="15"/>
  <c r="K33" i="15"/>
  <c r="L33" i="15"/>
  <c r="D34" i="15"/>
  <c r="I34" i="15"/>
  <c r="K34" i="15"/>
  <c r="L34" i="15"/>
  <c r="D35" i="15"/>
  <c r="I35" i="15"/>
  <c r="K35" i="15"/>
  <c r="D36" i="15"/>
  <c r="I36" i="15"/>
  <c r="K36" i="15"/>
  <c r="L36" i="15"/>
  <c r="D37" i="15"/>
  <c r="I37" i="15"/>
  <c r="K37" i="15"/>
  <c r="L37" i="15"/>
  <c r="D38" i="15"/>
  <c r="I38" i="15"/>
  <c r="K38" i="15"/>
  <c r="L38" i="15"/>
  <c r="D39" i="15"/>
  <c r="I39" i="15"/>
  <c r="K39" i="15"/>
  <c r="L39" i="15"/>
  <c r="D40" i="15"/>
  <c r="I40" i="15"/>
  <c r="K40" i="15"/>
  <c r="L40" i="15"/>
  <c r="D41" i="15"/>
  <c r="I41" i="15"/>
  <c r="K41" i="15"/>
  <c r="L41" i="15"/>
  <c r="D42" i="15"/>
  <c r="I42" i="15"/>
  <c r="K42" i="15"/>
  <c r="L42" i="15"/>
  <c r="D43" i="15"/>
  <c r="I43" i="15"/>
  <c r="K43" i="15"/>
  <c r="L43" i="15"/>
  <c r="I24" i="9"/>
  <c r="K24" i="9"/>
  <c r="L24" i="9"/>
  <c r="M24" i="9"/>
  <c r="I25" i="9"/>
  <c r="K25" i="9"/>
  <c r="L25" i="9"/>
  <c r="M25" i="9"/>
  <c r="I26" i="9"/>
  <c r="K26" i="9"/>
  <c r="L26" i="9"/>
  <c r="M26" i="9" s="1"/>
  <c r="I27" i="9"/>
  <c r="K27" i="9"/>
  <c r="L27" i="9"/>
  <c r="M27" i="9" s="1"/>
  <c r="I28" i="9"/>
  <c r="K28" i="9"/>
  <c r="L28" i="9"/>
  <c r="I29" i="9"/>
  <c r="K29" i="9"/>
  <c r="L29" i="9"/>
  <c r="I30" i="9"/>
  <c r="K30" i="9"/>
  <c r="L30" i="9"/>
  <c r="I31" i="9"/>
  <c r="K31" i="9"/>
  <c r="L31" i="9"/>
  <c r="M31" i="9" s="1"/>
  <c r="I32" i="9"/>
  <c r="K32" i="9"/>
  <c r="L32" i="9"/>
  <c r="M32" i="9"/>
  <c r="I33" i="9"/>
  <c r="K33" i="9"/>
  <c r="L33" i="9"/>
  <c r="M33" i="9"/>
  <c r="I34" i="9"/>
  <c r="K34" i="9"/>
  <c r="L34" i="9"/>
  <c r="I35" i="9"/>
  <c r="K35" i="9"/>
  <c r="L35" i="9"/>
  <c r="I36" i="9"/>
  <c r="K36" i="9"/>
  <c r="L36" i="9"/>
  <c r="I37" i="9"/>
  <c r="K37" i="9"/>
  <c r="L37" i="9"/>
  <c r="I38" i="9"/>
  <c r="K38" i="9"/>
  <c r="L38" i="9"/>
  <c r="M38" i="9" s="1"/>
  <c r="I39" i="9"/>
  <c r="K39" i="9"/>
  <c r="L39" i="9"/>
  <c r="M39" i="9" s="1"/>
  <c r="I40" i="9"/>
  <c r="K40" i="9"/>
  <c r="L40" i="9"/>
  <c r="M40" i="9"/>
  <c r="I41" i="9"/>
  <c r="K41" i="9"/>
  <c r="L41" i="9"/>
  <c r="M41" i="9"/>
  <c r="I42" i="9"/>
  <c r="K42" i="9"/>
  <c r="L42" i="9"/>
  <c r="M42" i="9" s="1"/>
  <c r="I43" i="9"/>
  <c r="K43" i="9"/>
  <c r="L43" i="9"/>
  <c r="M43" i="9" s="1"/>
  <c r="M28" i="9" l="1"/>
  <c r="M30" i="9"/>
  <c r="M34" i="9"/>
  <c r="M35" i="9"/>
  <c r="M36" i="9"/>
  <c r="M37" i="9"/>
  <c r="M29" i="9"/>
  <c r="L35" i="15"/>
  <c r="E34" i="15"/>
  <c r="M34" i="15"/>
  <c r="N34" i="15"/>
  <c r="E35" i="15"/>
  <c r="M35" i="15"/>
  <c r="N35" i="15"/>
  <c r="E36" i="15"/>
  <c r="M36" i="15"/>
  <c r="N36" i="15"/>
  <c r="E37" i="15"/>
  <c r="M37" i="15"/>
  <c r="N37" i="15"/>
  <c r="E38" i="15"/>
  <c r="M38" i="15"/>
  <c r="N38" i="15"/>
  <c r="E39" i="15"/>
  <c r="M39" i="15"/>
  <c r="N39" i="15"/>
  <c r="E40" i="15"/>
  <c r="M40" i="15"/>
  <c r="N40" i="15"/>
  <c r="E41" i="15"/>
  <c r="M41" i="15"/>
  <c r="N41" i="15"/>
  <c r="E42" i="15"/>
  <c r="M42" i="15"/>
  <c r="N42" i="15"/>
  <c r="E43" i="15"/>
  <c r="M43" i="15"/>
  <c r="N43" i="15"/>
  <c r="D4" i="15"/>
  <c r="E4" i="15"/>
  <c r="H4" i="15"/>
  <c r="J4" i="15"/>
  <c r="L4" i="15"/>
  <c r="M4" i="15"/>
  <c r="N4" i="15"/>
  <c r="D5" i="15"/>
  <c r="E5" i="15"/>
  <c r="I5" i="15"/>
  <c r="K5" i="15"/>
  <c r="L5" i="15"/>
  <c r="M5" i="15"/>
  <c r="N5" i="15"/>
  <c r="D6" i="15"/>
  <c r="E6" i="15"/>
  <c r="I6" i="15"/>
  <c r="K6" i="15"/>
  <c r="L6" i="15"/>
  <c r="M6" i="15"/>
  <c r="N6" i="15"/>
  <c r="D7" i="15"/>
  <c r="E7" i="15"/>
  <c r="I7" i="15"/>
  <c r="K7" i="15"/>
  <c r="L7" i="15"/>
  <c r="M7" i="15"/>
  <c r="N7" i="15"/>
  <c r="D8" i="15"/>
  <c r="E8" i="15"/>
  <c r="I8" i="15"/>
  <c r="K8" i="15"/>
  <c r="L8" i="15"/>
  <c r="M8" i="15"/>
  <c r="N8" i="15"/>
  <c r="D9" i="15"/>
  <c r="E9" i="15"/>
  <c r="I9" i="15"/>
  <c r="K9" i="15"/>
  <c r="L9" i="15"/>
  <c r="M9" i="15"/>
  <c r="N9" i="15"/>
  <c r="D10" i="15"/>
  <c r="E10" i="15"/>
  <c r="I10" i="15"/>
  <c r="K10" i="15"/>
  <c r="L10" i="15"/>
  <c r="M10" i="15"/>
  <c r="N10" i="15"/>
  <c r="D11" i="15"/>
  <c r="E11" i="15"/>
  <c r="I11" i="15"/>
  <c r="K11" i="15"/>
  <c r="L11" i="15"/>
  <c r="M11" i="15"/>
  <c r="N11" i="15"/>
  <c r="D12" i="15"/>
  <c r="E12" i="15"/>
  <c r="I12" i="15"/>
  <c r="K12" i="15"/>
  <c r="L12" i="15"/>
  <c r="M12" i="15"/>
  <c r="N12" i="15"/>
  <c r="D13" i="15"/>
  <c r="E13" i="15"/>
  <c r="I13" i="15"/>
  <c r="K13" i="15"/>
  <c r="L13" i="15"/>
  <c r="M13" i="15"/>
  <c r="N13" i="15"/>
  <c r="D14" i="15"/>
  <c r="E14" i="15"/>
  <c r="I14" i="15"/>
  <c r="K14" i="15"/>
  <c r="L14" i="15"/>
  <c r="M14" i="15"/>
  <c r="N14" i="15"/>
  <c r="D15" i="15"/>
  <c r="E15" i="15"/>
  <c r="I15" i="15"/>
  <c r="K15" i="15"/>
  <c r="L15" i="15"/>
  <c r="M15" i="15"/>
  <c r="N15" i="15"/>
  <c r="D16" i="15"/>
  <c r="E16" i="15"/>
  <c r="I16" i="15"/>
  <c r="K16" i="15"/>
  <c r="L16" i="15"/>
  <c r="M16" i="15"/>
  <c r="N16" i="15"/>
  <c r="D17" i="15"/>
  <c r="E17" i="15"/>
  <c r="I17" i="15"/>
  <c r="K17" i="15"/>
  <c r="L17" i="15"/>
  <c r="M17" i="15"/>
  <c r="N17" i="15"/>
  <c r="D18" i="15"/>
  <c r="E18" i="15"/>
  <c r="I18" i="15"/>
  <c r="K18" i="15"/>
  <c r="L18" i="15"/>
  <c r="M18" i="15"/>
  <c r="N18" i="15"/>
  <c r="D19" i="15"/>
  <c r="E19" i="15"/>
  <c r="I19" i="15"/>
  <c r="K19" i="15"/>
  <c r="L19" i="15"/>
  <c r="M19" i="15"/>
  <c r="N19" i="15"/>
  <c r="D20" i="15"/>
  <c r="E20" i="15"/>
  <c r="I20" i="15"/>
  <c r="K20" i="15"/>
  <c r="L20" i="15"/>
  <c r="M20" i="15"/>
  <c r="N20" i="15"/>
  <c r="D21" i="15"/>
  <c r="E21" i="15"/>
  <c r="I21" i="15"/>
  <c r="K21" i="15"/>
  <c r="L21" i="15"/>
  <c r="M21" i="15"/>
  <c r="N21" i="15"/>
  <c r="D22" i="15"/>
  <c r="E22" i="15"/>
  <c r="I22" i="15"/>
  <c r="K22" i="15"/>
  <c r="L22" i="15"/>
  <c r="M22" i="15"/>
  <c r="N22" i="15"/>
  <c r="D23" i="15"/>
  <c r="E23" i="15"/>
  <c r="I23" i="15"/>
  <c r="K23" i="15"/>
  <c r="L23" i="15"/>
  <c r="M23" i="15"/>
  <c r="N23" i="15"/>
  <c r="E24" i="15"/>
  <c r="M24" i="15"/>
  <c r="N24" i="15"/>
  <c r="E25" i="15"/>
  <c r="M25" i="15"/>
  <c r="N25" i="15"/>
  <c r="E26" i="15"/>
  <c r="M26" i="15"/>
  <c r="N26" i="15"/>
  <c r="E27" i="15"/>
  <c r="M27" i="15"/>
  <c r="N27" i="15"/>
  <c r="E28" i="15"/>
  <c r="M28" i="15"/>
  <c r="N28" i="15"/>
  <c r="E29" i="15"/>
  <c r="M29" i="15"/>
  <c r="N29" i="15"/>
  <c r="E30" i="15"/>
  <c r="M30" i="15"/>
  <c r="N30" i="15"/>
  <c r="E31" i="15"/>
  <c r="M31" i="15"/>
  <c r="N31" i="15"/>
  <c r="E32" i="15"/>
  <c r="M32" i="15"/>
  <c r="N32" i="15"/>
  <c r="E33" i="15"/>
  <c r="M33" i="15"/>
  <c r="N33" i="15"/>
  <c r="D86" i="15"/>
  <c r="E86" i="15"/>
  <c r="H86" i="15"/>
  <c r="I86" i="15"/>
  <c r="J86" i="15"/>
  <c r="K86" i="15"/>
  <c r="L86" i="15"/>
  <c r="M86" i="15"/>
  <c r="N86" i="15"/>
  <c r="E9" i="12"/>
  <c r="E15" i="12"/>
  <c r="I6" i="11"/>
  <c r="O6" i="11"/>
  <c r="R6" i="11"/>
  <c r="C28" i="14"/>
  <c r="H4" i="9"/>
  <c r="J4" i="9"/>
  <c r="L4" i="9"/>
  <c r="M4" i="9"/>
  <c r="I5" i="9"/>
  <c r="K5" i="9"/>
  <c r="L5" i="9"/>
  <c r="M5" i="9"/>
  <c r="I6" i="9"/>
  <c r="K6" i="9"/>
  <c r="L6" i="9"/>
  <c r="M6" i="9"/>
  <c r="I7" i="9"/>
  <c r="K7" i="9"/>
  <c r="L7" i="9"/>
  <c r="M7" i="9"/>
  <c r="I8" i="9"/>
  <c r="K8" i="9"/>
  <c r="L8" i="9"/>
  <c r="M8" i="9"/>
  <c r="I9" i="9"/>
  <c r="K9" i="9"/>
  <c r="L9" i="9"/>
  <c r="M9" i="9"/>
  <c r="I10" i="9"/>
  <c r="K10" i="9"/>
  <c r="L10" i="9"/>
  <c r="M10" i="9"/>
  <c r="I11" i="9"/>
  <c r="K11" i="9"/>
  <c r="L11" i="9"/>
  <c r="M11" i="9"/>
  <c r="I12" i="9"/>
  <c r="K12" i="9"/>
  <c r="L12" i="9"/>
  <c r="M12" i="9"/>
  <c r="I13" i="9"/>
  <c r="K13" i="9"/>
  <c r="L13" i="9"/>
  <c r="M13" i="9"/>
  <c r="I14" i="9"/>
  <c r="K14" i="9"/>
  <c r="L14" i="9"/>
  <c r="M14" i="9"/>
  <c r="I15" i="9"/>
  <c r="K15" i="9"/>
  <c r="L15" i="9"/>
  <c r="M15" i="9"/>
  <c r="I16" i="9"/>
  <c r="K16" i="9"/>
  <c r="L16" i="9"/>
  <c r="M16" i="9"/>
  <c r="I17" i="9"/>
  <c r="K17" i="9"/>
  <c r="L17" i="9"/>
  <c r="M17" i="9"/>
  <c r="I18" i="9"/>
  <c r="K18" i="9"/>
  <c r="L18" i="9"/>
  <c r="M18" i="9"/>
  <c r="I19" i="9"/>
  <c r="K19" i="9"/>
  <c r="L19" i="9"/>
  <c r="M19" i="9"/>
  <c r="I20" i="9"/>
  <c r="K20" i="9"/>
  <c r="L20" i="9"/>
  <c r="M20" i="9"/>
  <c r="I21" i="9"/>
  <c r="K21" i="9"/>
  <c r="L21" i="9"/>
  <c r="M21" i="9"/>
  <c r="I22" i="9"/>
  <c r="K22" i="9"/>
  <c r="L22" i="9"/>
  <c r="M22" i="9"/>
  <c r="I23" i="9"/>
  <c r="K23" i="9"/>
  <c r="L23" i="9"/>
  <c r="M23" i="9"/>
  <c r="H86" i="9"/>
  <c r="I86" i="9"/>
  <c r="J86" i="9"/>
  <c r="K86" i="9"/>
  <c r="L86" i="9"/>
  <c r="M86" i="9"/>
</calcChain>
</file>

<file path=xl/sharedStrings.xml><?xml version="1.0" encoding="utf-8"?>
<sst xmlns="http://schemas.openxmlformats.org/spreadsheetml/2006/main" count="157" uniqueCount="109">
  <si>
    <t>Field</t>
  </si>
  <si>
    <t>Policy Number</t>
  </si>
  <si>
    <t>POL0001</t>
  </si>
  <si>
    <t>Customer Name</t>
  </si>
  <si>
    <t>Amit Sharma</t>
  </si>
  <si>
    <t>Age</t>
  </si>
  <si>
    <t>Gender</t>
  </si>
  <si>
    <t>Male</t>
  </si>
  <si>
    <t>Policy Term (Years)</t>
  </si>
  <si>
    <t>Interest Rate</t>
  </si>
  <si>
    <t>Premium Frequency</t>
  </si>
  <si>
    <t>Annual</t>
  </si>
  <si>
    <t>Product Type</t>
  </si>
  <si>
    <t>Issue Date</t>
  </si>
  <si>
    <t>Status</t>
  </si>
  <si>
    <t>qx</t>
  </si>
  <si>
    <t>px</t>
  </si>
  <si>
    <t>lx</t>
  </si>
  <si>
    <t>dx</t>
  </si>
  <si>
    <t>POLICY YEAR</t>
  </si>
  <si>
    <t>AGE</t>
  </si>
  <si>
    <t>Probability of Death</t>
  </si>
  <si>
    <t>Discount Factor</t>
  </si>
  <si>
    <t>Cumulative EPV</t>
  </si>
  <si>
    <t>Product</t>
  </si>
  <si>
    <t>Policy Year</t>
  </si>
  <si>
    <t>Survival Probability</t>
  </si>
  <si>
    <t>Premium PV Factor</t>
  </si>
  <si>
    <t>Policy Information</t>
  </si>
  <si>
    <t>Pricing Results</t>
  </si>
  <si>
    <t>Commercial Pricing</t>
  </si>
  <si>
    <t>Model Status</t>
  </si>
  <si>
    <t>✔ Inputs Valid</t>
  </si>
  <si>
    <t>✔ Mortality Loaded</t>
  </si>
  <si>
    <t>✔ Premium Calculated</t>
  </si>
  <si>
    <t>✔ Validation Passed</t>
  </si>
  <si>
    <t>Sum Assured</t>
  </si>
  <si>
    <t>EPV of Benefits</t>
  </si>
  <si>
    <t>Premium Annuity Factor</t>
  </si>
  <si>
    <t>Net Premium</t>
  </si>
  <si>
    <t>Profit Loading</t>
  </si>
  <si>
    <t>Gross Premium</t>
  </si>
  <si>
    <t>ACTUARIAL LIFE INSURANCE PRICING ENGINE</t>
  </si>
  <si>
    <t>Policy Term(Years)</t>
  </si>
  <si>
    <t>Death</t>
  </si>
  <si>
    <t>Aqx</t>
  </si>
  <si>
    <t>Term</t>
  </si>
  <si>
    <t>TOTAL</t>
  </si>
  <si>
    <t>Premium Term(Years)</t>
  </si>
  <si>
    <t>Expenses</t>
  </si>
  <si>
    <t>NET PREMIUM</t>
  </si>
  <si>
    <t>GROSS PREMIUM PV</t>
  </si>
  <si>
    <t>Premium Inflow</t>
  </si>
  <si>
    <t>Investment Income</t>
  </si>
  <si>
    <t>Profit</t>
  </si>
  <si>
    <t>Net Cash Flow</t>
  </si>
  <si>
    <t>Reserves</t>
  </si>
  <si>
    <t>Input Value</t>
  </si>
  <si>
    <t>Project Overview</t>
  </si>
  <si>
    <t>This workbook is a simplified actuarial pricing model developed to calculate the premium for an individual term life insurance policy.
The model applies actuarial pricing principles using mortality assumptions, discounting techniques, expense loading, profit loading, and projected cash flows to estimate both net and gross premiums.</t>
  </si>
  <si>
    <t>Objective</t>
  </si>
  <si>
    <t>The objective of this project is to:
• Price a term life insurance product using actuarial techniques.
• Demonstrate the calculation of Expected Present Value (EPV) of benefits and premiums.
• Project insurer cash flows over the policy term.
• Estimate gross premium by incorporating expenses, investment income, and profit loading.
• Present pricing results through a structured Excel model and dashboard.</t>
  </si>
  <si>
    <t>Workbook Structure</t>
  </si>
  <si>
    <t>Worksheet</t>
  </si>
  <si>
    <t>Description</t>
  </si>
  <si>
    <t>Inputs</t>
  </si>
  <si>
    <t>Policy details and pricing assumptions</t>
  </si>
  <si>
    <t>Mortality rates and life table calculations</t>
  </si>
  <si>
    <t>Calculations</t>
  </si>
  <si>
    <t>Survival probabilities, death probabilities and EPV calculations</t>
  </si>
  <si>
    <t>Premium present value factors and annuity calculations</t>
  </si>
  <si>
    <t>Premium</t>
  </si>
  <si>
    <t>Net and Gross Premium calculations</t>
  </si>
  <si>
    <t>Cashflow</t>
  </si>
  <si>
    <t>Annual premium inflows, benefits, expenses, investment income and net cash flows</t>
  </si>
  <si>
    <t>Checks</t>
  </si>
  <si>
    <t>Model validation and consistency checks</t>
  </si>
  <si>
    <t>Dashboard</t>
  </si>
  <si>
    <t>Summary of pricing results and charts</t>
  </si>
  <si>
    <t>Premium Calculations</t>
  </si>
  <si>
    <t>Mortality Table</t>
  </si>
  <si>
    <t>Validation</t>
  </si>
  <si>
    <t>Age between 18–70</t>
  </si>
  <si>
    <t>Premium Term ≤ Policy Term</t>
  </si>
  <si>
    <t>Age + Policy Term ≤ Maximum Mortality Age</t>
  </si>
  <si>
    <t>Net Premium &gt; 0</t>
  </si>
  <si>
    <t>Overall Model Status</t>
  </si>
  <si>
    <t>Policy Term between 5–50</t>
  </si>
  <si>
    <t>Life Insurance Pricing Engine</t>
  </si>
  <si>
    <t>Excel-Based Actuarial Pricing Model</t>
  </si>
  <si>
    <t>EVP Benefits</t>
  </si>
  <si>
    <t>EPV Expenses</t>
  </si>
  <si>
    <t>MORTALITY TABLE : AM 92</t>
  </si>
  <si>
    <t>Initial Expenses</t>
  </si>
  <si>
    <t>Renewal Expenses</t>
  </si>
  <si>
    <t>Commissions</t>
  </si>
  <si>
    <t>Death Benefit Outgo</t>
  </si>
  <si>
    <t>Surrender Outgo</t>
  </si>
  <si>
    <t>Initial Commission</t>
  </si>
  <si>
    <t>Renewal Commission</t>
  </si>
  <si>
    <t>Benefits Outgo</t>
  </si>
  <si>
    <t>Inflows</t>
  </si>
  <si>
    <t>Benefits</t>
  </si>
  <si>
    <t>Gross Premium &gt; Net Premium</t>
  </si>
  <si>
    <t>Sum Assured &gt; 0</t>
  </si>
  <si>
    <t>Expense Loading Valid</t>
  </si>
  <si>
    <t>Profit Loading Valid</t>
  </si>
  <si>
    <t>EPV Benefits &gt; 0</t>
  </si>
  <si>
    <t>Premium Annuity Factor &gt;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</si>
</sst>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164" formatCode="0.0000"/>
    <numFmt numFmtId="165" formatCode="&quot;₹&quot;\ #,##0.00"/>
  </numFmts>
  <fonts count="12">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
      <sz val="11"/>
      <color rgb="FFFF0000"/>
      <name val="Calibri"/>
      <family val="2"/>
      <scheme val="minor"/>
    </font>
    <font>
      <sz val="10"/>
      <color rgb="FFFF0000"/>
      <name val="Arial Unicode MS"/>
    </font>
    <font>
      <b/>
      <sz val="11"/>
      <color rgb="FFFF0000"/>
      <name val="Calibri"/>
      <family val="2"/>
      <scheme val="minor"/>
    </font>
    <font>
      <sz val="11"/>
      <color theme="1" tint="4.9989318521683403E-2"/>
      <name val="Calibri"/>
      <family val="2"/>
      <scheme val="minor"/>
    </font>
    <font>
      <sz val="8"/>
      <name val="Calibri"/>
      <family val="2"/>
      <scheme val="minor"/>
    </font>
    <font>
      <b/>
      <sz val="20"/>
      <color theme="0"/>
      <name val="Calibri"/>
      <family val="2"/>
      <scheme val="minor"/>
    </font>
    <font>
      <b/>
      <i/>
      <sz val="12"/>
      <color theme="0"/>
      <name val="Calibri"/>
      <family val="2"/>
      <scheme val="minor"/>
    </font>
    <font>
      <b/>
      <sz val="14"/>
      <color theme="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2"/>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thin">
        <color indexed="64"/>
      </right>
      <top/>
      <bottom style="thin">
        <color indexed="64"/>
      </bottom>
      <diagonal/>
    </border>
    <border>
      <left style="thin">
        <color indexed="64"/>
      </left>
      <right style="medium">
        <color theme="1"/>
      </right>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medium">
        <color theme="4" tint="0.79998168889431442"/>
      </left>
      <right/>
      <top style="medium">
        <color theme="4" tint="0.79998168889431442"/>
      </top>
      <bottom/>
      <diagonal/>
    </border>
    <border>
      <left/>
      <right/>
      <top style="medium">
        <color theme="4" tint="0.79998168889431442"/>
      </top>
      <bottom/>
      <diagonal/>
    </border>
    <border>
      <left/>
      <right style="medium">
        <color theme="4" tint="0.79998168889431442"/>
      </right>
      <top style="medium">
        <color theme="4" tint="0.79998168889431442"/>
      </top>
      <bottom/>
      <diagonal/>
    </border>
    <border>
      <left style="medium">
        <color theme="4" tint="0.79998168889431442"/>
      </left>
      <right/>
      <top/>
      <bottom/>
      <diagonal/>
    </border>
    <border>
      <left style="medium">
        <color theme="4" tint="0.79998168889431442"/>
      </left>
      <right/>
      <top/>
      <bottom style="medium">
        <color theme="4" tint="0.79998168889431442"/>
      </bottom>
      <diagonal/>
    </border>
    <border>
      <left/>
      <right/>
      <top/>
      <bottom style="medium">
        <color theme="4" tint="0.79998168889431442"/>
      </bottom>
      <diagonal/>
    </border>
    <border>
      <left/>
      <right style="medium">
        <color theme="4" tint="0.79998168889431442"/>
      </right>
      <top/>
      <bottom style="medium">
        <color theme="4" tint="0.79998168889431442"/>
      </bottom>
      <diagonal/>
    </border>
    <border>
      <left style="medium">
        <color theme="4" tint="0.79998168889431442"/>
      </left>
      <right style="medium">
        <color theme="4" tint="0.79998168889431442"/>
      </right>
      <top style="medium">
        <color theme="4" tint="0.79998168889431442"/>
      </top>
      <bottom/>
      <diagonal/>
    </border>
    <border>
      <left/>
      <right style="medium">
        <color theme="8" tint="0.79998168889431442"/>
      </right>
      <top/>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theme="8" tint="0.79998168889431442"/>
      </left>
      <right style="medium">
        <color theme="4" tint="0.79998168889431442"/>
      </right>
      <top style="medium">
        <color theme="4" tint="0.79998168889431442"/>
      </top>
      <bottom/>
      <diagonal/>
    </border>
    <border>
      <left style="medium">
        <color theme="8" tint="0.79998168889431442"/>
      </left>
      <right style="medium">
        <color theme="4" tint="0.79998168889431442"/>
      </right>
      <top/>
      <bottom/>
      <diagonal/>
    </border>
    <border>
      <left style="medium">
        <color theme="8" tint="0.79998168889431442"/>
      </left>
      <right style="medium">
        <color theme="4" tint="0.79998168889431442"/>
      </right>
      <top/>
      <bottom style="medium">
        <color theme="4" tint="0.79998168889431442"/>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82">
    <xf numFmtId="0" fontId="0" fillId="0" borderId="0" xfId="0"/>
    <xf numFmtId="0" fontId="0" fillId="0" borderId="0" xfId="0" applyAlignment="1">
      <alignment horizontal="left"/>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horizontal="center" vertical="center"/>
    </xf>
    <xf numFmtId="0" fontId="3" fillId="0" borderId="0" xfId="0" applyFont="1" applyAlignment="1">
      <alignment vertical="center"/>
    </xf>
    <xf numFmtId="0" fontId="0" fillId="0" borderId="0" xfId="0" applyAlignment="1">
      <alignment vertical="center"/>
    </xf>
    <xf numFmtId="0" fontId="0" fillId="2" borderId="7" xfId="0" applyFill="1" applyBorder="1"/>
    <xf numFmtId="0" fontId="0" fillId="2" borderId="0" xfId="0" applyFill="1"/>
    <xf numFmtId="164" fontId="0" fillId="2" borderId="0" xfId="0" applyNumberFormat="1" applyFill="1"/>
    <xf numFmtId="164" fontId="3" fillId="2" borderId="0" xfId="0" applyNumberFormat="1" applyFont="1" applyFill="1" applyAlignment="1">
      <alignment vertical="center"/>
    </xf>
    <xf numFmtId="0" fontId="0" fillId="2" borderId="19" xfId="0" applyFill="1" applyBorder="1"/>
    <xf numFmtId="164" fontId="0" fillId="2" borderId="19" xfId="0" applyNumberFormat="1" applyFill="1" applyBorder="1"/>
    <xf numFmtId="164" fontId="3" fillId="2" borderId="19" xfId="0" applyNumberFormat="1" applyFont="1" applyFill="1" applyBorder="1" applyAlignment="1">
      <alignment vertical="center"/>
    </xf>
    <xf numFmtId="2" fontId="0" fillId="2" borderId="0" xfId="0" applyNumberFormat="1" applyFill="1"/>
    <xf numFmtId="2" fontId="0" fillId="2" borderId="19" xfId="0" applyNumberFormat="1" applyFill="1" applyBorder="1"/>
    <xf numFmtId="164" fontId="0" fillId="0" borderId="0" xfId="0" applyNumberFormat="1" applyAlignment="1">
      <alignment horizontal="right" vertical="center"/>
    </xf>
    <xf numFmtId="0" fontId="4" fillId="2" borderId="21" xfId="0" applyFont="1" applyFill="1" applyBorder="1"/>
    <xf numFmtId="164" fontId="4" fillId="2" borderId="21" xfId="0" applyNumberFormat="1" applyFont="1" applyFill="1" applyBorder="1"/>
    <xf numFmtId="164" fontId="5" fillId="2" borderId="21" xfId="0" applyNumberFormat="1" applyFont="1" applyFill="1" applyBorder="1" applyAlignment="1">
      <alignment vertical="center"/>
    </xf>
    <xf numFmtId="2" fontId="4" fillId="2" borderId="21" xfId="0" applyNumberFormat="1" applyFont="1" applyFill="1" applyBorder="1"/>
    <xf numFmtId="0" fontId="7" fillId="2" borderId="19" xfId="0" applyFont="1" applyFill="1" applyBorder="1"/>
    <xf numFmtId="0" fontId="0" fillId="0" borderId="0" xfId="0" applyAlignment="1">
      <alignment horizontal="right"/>
    </xf>
    <xf numFmtId="0" fontId="0" fillId="2" borderId="0" xfId="0" applyFill="1" applyAlignment="1">
      <alignment horizontal="right"/>
    </xf>
    <xf numFmtId="0" fontId="0" fillId="2" borderId="19" xfId="0" applyFill="1" applyBorder="1" applyAlignment="1">
      <alignment horizontal="right"/>
    </xf>
    <xf numFmtId="164" fontId="0" fillId="2" borderId="7" xfId="0" applyNumberFormat="1" applyFill="1" applyBorder="1"/>
    <xf numFmtId="0" fontId="4" fillId="2" borderId="20" xfId="0" applyFont="1" applyFill="1" applyBorder="1"/>
    <xf numFmtId="2" fontId="0" fillId="2" borderId="7" xfId="0" applyNumberFormat="1" applyFill="1" applyBorder="1"/>
    <xf numFmtId="0" fontId="0" fillId="2" borderId="8" xfId="0" applyFill="1" applyBorder="1"/>
    <xf numFmtId="164" fontId="0" fillId="2" borderId="8" xfId="0" applyNumberFormat="1" applyFill="1" applyBorder="1"/>
    <xf numFmtId="0" fontId="0" fillId="2" borderId="14" xfId="0" applyFill="1" applyBorder="1"/>
    <xf numFmtId="0" fontId="0" fillId="2" borderId="16" xfId="0" applyFill="1" applyBorder="1"/>
    <xf numFmtId="0" fontId="0" fillId="2" borderId="17" xfId="0" applyFill="1" applyBorder="1"/>
    <xf numFmtId="0" fontId="0" fillId="2" borderId="12" xfId="0" applyFill="1" applyBorder="1"/>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24" xfId="0" applyFont="1" applyFill="1" applyBorder="1"/>
    <xf numFmtId="0" fontId="1" fillId="2" borderId="23" xfId="0" applyFont="1" applyFill="1" applyBorder="1"/>
    <xf numFmtId="0" fontId="1" fillId="2" borderId="25" xfId="0" applyFont="1" applyFill="1" applyBorder="1"/>
    <xf numFmtId="8" fontId="6" fillId="2" borderId="26" xfId="0" applyNumberFormat="1" applyFont="1" applyFill="1" applyBorder="1" applyAlignment="1">
      <alignment horizontal="left"/>
    </xf>
    <xf numFmtId="164" fontId="6" fillId="2" borderId="27" xfId="0" applyNumberFormat="1" applyFont="1" applyFill="1" applyBorder="1" applyAlignment="1">
      <alignment horizontal="left"/>
    </xf>
    <xf numFmtId="8" fontId="6" fillId="2" borderId="28" xfId="0" applyNumberFormat="1" applyFont="1" applyFill="1" applyBorder="1" applyAlignment="1">
      <alignment horizontal="left"/>
    </xf>
    <xf numFmtId="0" fontId="0" fillId="2" borderId="27" xfId="0" applyFill="1" applyBorder="1"/>
    <xf numFmtId="0" fontId="0" fillId="2" borderId="28" xfId="0" applyFill="1" applyBorder="1"/>
    <xf numFmtId="0" fontId="0" fillId="2" borderId="29" xfId="0" applyFill="1" applyBorder="1"/>
    <xf numFmtId="0" fontId="1" fillId="2" borderId="1" xfId="0" applyFont="1" applyFill="1" applyBorder="1"/>
    <xf numFmtId="2" fontId="0" fillId="2" borderId="8" xfId="0" applyNumberFormat="1" applyFill="1" applyBorder="1"/>
    <xf numFmtId="2" fontId="0" fillId="2" borderId="13" xfId="0" applyNumberFormat="1" applyFill="1" applyBorder="1"/>
    <xf numFmtId="2" fontId="0" fillId="2" borderId="15" xfId="0" applyNumberFormat="1" applyFill="1" applyBorder="1"/>
    <xf numFmtId="2" fontId="0" fillId="2" borderId="17" xfId="0" applyNumberFormat="1" applyFill="1" applyBorder="1"/>
    <xf numFmtId="0" fontId="6" fillId="2" borderId="9" xfId="0" applyFont="1" applyFill="1" applyBorder="1"/>
    <xf numFmtId="0" fontId="6" fillId="2" borderId="10" xfId="0" applyFont="1" applyFill="1" applyBorder="1"/>
    <xf numFmtId="2" fontId="6" fillId="2" borderId="10" xfId="0" applyNumberFormat="1" applyFont="1" applyFill="1" applyBorder="1"/>
    <xf numFmtId="2" fontId="6" fillId="2" borderId="11" xfId="0" applyNumberFormat="1" applyFont="1" applyFill="1" applyBorder="1"/>
    <xf numFmtId="9" fontId="6" fillId="2" borderId="27" xfId="1" applyFont="1" applyFill="1" applyBorder="1" applyAlignment="1">
      <alignment horizontal="left"/>
    </xf>
    <xf numFmtId="0" fontId="0" fillId="2" borderId="30" xfId="0" applyFill="1" applyBorder="1"/>
    <xf numFmtId="0" fontId="0" fillId="2" borderId="31" xfId="0" applyFill="1" applyBorder="1"/>
    <xf numFmtId="164" fontId="0" fillId="2" borderId="31" xfId="0" applyNumberFormat="1" applyFill="1" applyBorder="1"/>
    <xf numFmtId="2" fontId="0" fillId="2" borderId="32" xfId="0" applyNumberFormat="1" applyFill="1" applyBorder="1"/>
    <xf numFmtId="164" fontId="6" fillId="2" borderId="10" xfId="0" applyNumberFormat="1" applyFont="1" applyFill="1" applyBorder="1"/>
    <xf numFmtId="0" fontId="0" fillId="2" borderId="24" xfId="0" applyFill="1" applyBorder="1"/>
    <xf numFmtId="0" fontId="0" fillId="2" borderId="26" xfId="0" applyFill="1" applyBorder="1" applyAlignment="1">
      <alignment horizontal="left"/>
    </xf>
    <xf numFmtId="0" fontId="0" fillId="2" borderId="23" xfId="0" applyFill="1" applyBorder="1"/>
    <xf numFmtId="0" fontId="0" fillId="2" borderId="27" xfId="0" applyFill="1" applyBorder="1" applyAlignment="1">
      <alignment horizontal="left"/>
    </xf>
    <xf numFmtId="6" fontId="0" fillId="2" borderId="27" xfId="0" applyNumberFormat="1" applyFill="1" applyBorder="1" applyAlignment="1">
      <alignment horizontal="left"/>
    </xf>
    <xf numFmtId="0" fontId="0" fillId="2" borderId="25" xfId="0" applyFill="1" applyBorder="1"/>
    <xf numFmtId="10" fontId="0" fillId="2" borderId="28" xfId="0" applyNumberFormat="1" applyFill="1" applyBorder="1" applyAlignment="1">
      <alignment horizontal="left"/>
    </xf>
    <xf numFmtId="0" fontId="0" fillId="0" borderId="0" xfId="0" applyAlignment="1">
      <alignment vertical="top" wrapText="1"/>
    </xf>
    <xf numFmtId="0" fontId="1" fillId="4" borderId="58" xfId="0" applyFont="1" applyFill="1" applyBorder="1" applyAlignment="1">
      <alignment horizontal="left" vertical="center"/>
    </xf>
    <xf numFmtId="0" fontId="1" fillId="5" borderId="2"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0" fillId="5" borderId="5" xfId="0" applyFill="1" applyBorder="1" applyAlignment="1">
      <alignment horizontal="left" vertical="center" wrapText="1"/>
    </xf>
    <xf numFmtId="165" fontId="0" fillId="5" borderId="5" xfId="0" applyNumberFormat="1" applyFill="1" applyBorder="1" applyAlignment="1">
      <alignment horizontal="left" vertical="center" wrapText="1"/>
    </xf>
    <xf numFmtId="9" fontId="0" fillId="5" borderId="5" xfId="1" applyFont="1" applyFill="1" applyBorder="1" applyAlignment="1">
      <alignment horizontal="left" vertical="center" wrapText="1"/>
    </xf>
    <xf numFmtId="0" fontId="1" fillId="5" borderId="4" xfId="0" applyFont="1" applyFill="1" applyBorder="1" applyAlignment="1">
      <alignment horizontal="left" vertical="center" wrapText="1"/>
    </xf>
    <xf numFmtId="14" fontId="0" fillId="5" borderId="6" xfId="0" applyNumberFormat="1" applyFill="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horizontal="center"/>
    </xf>
    <xf numFmtId="9" fontId="6" fillId="2" borderId="60" xfId="1" applyFont="1" applyFill="1" applyBorder="1" applyAlignment="1">
      <alignment horizontal="left"/>
    </xf>
    <xf numFmtId="9" fontId="6" fillId="2" borderId="5" xfId="1" applyFont="1" applyFill="1" applyBorder="1" applyAlignment="1">
      <alignment horizontal="left"/>
    </xf>
    <xf numFmtId="0" fontId="1" fillId="2" borderId="61" xfId="0" applyFont="1" applyFill="1" applyBorder="1"/>
    <xf numFmtId="9" fontId="6" fillId="2" borderId="62" xfId="1" applyFont="1" applyFill="1" applyBorder="1" applyAlignment="1">
      <alignment horizontal="left"/>
    </xf>
    <xf numFmtId="0" fontId="1" fillId="2" borderId="2" xfId="0" applyFont="1" applyFill="1" applyBorder="1"/>
    <xf numFmtId="165" fontId="6" fillId="2" borderId="1" xfId="0" applyNumberFormat="1" applyFont="1" applyFill="1" applyBorder="1" applyAlignment="1">
      <alignment horizontal="left"/>
    </xf>
    <xf numFmtId="0" fontId="0" fillId="0" borderId="63" xfId="0" applyBorder="1" applyAlignment="1">
      <alignment horizontal="left" vertical="center"/>
    </xf>
    <xf numFmtId="0" fontId="0" fillId="0" borderId="64" xfId="0" applyBorder="1" applyAlignment="1">
      <alignment horizontal="left" vertical="center"/>
    </xf>
    <xf numFmtId="165" fontId="0" fillId="0" borderId="64" xfId="0" applyNumberFormat="1" applyBorder="1" applyAlignment="1">
      <alignment horizontal="left" vertical="center"/>
    </xf>
    <xf numFmtId="9" fontId="0" fillId="0" borderId="64" xfId="1" applyFont="1" applyFill="1" applyBorder="1" applyAlignment="1">
      <alignment horizontal="left" vertical="center"/>
    </xf>
    <xf numFmtId="9" fontId="0" fillId="0" borderId="65" xfId="1" applyFont="1" applyFill="1" applyBorder="1" applyAlignment="1">
      <alignment horizontal="left" vertical="center"/>
    </xf>
    <xf numFmtId="0" fontId="1" fillId="7" borderId="1" xfId="0" applyFont="1" applyFill="1" applyBorder="1" applyAlignment="1">
      <alignment horizontal="left" vertical="top" wrapText="1"/>
    </xf>
    <xf numFmtId="0" fontId="1" fillId="7" borderId="9" xfId="0" applyFont="1" applyFill="1" applyBorder="1" applyAlignment="1">
      <alignment horizontal="left" vertical="center" wrapText="1"/>
    </xf>
    <xf numFmtId="0" fontId="1" fillId="7" borderId="10" xfId="0" applyFont="1" applyFill="1" applyBorder="1" applyAlignment="1">
      <alignment horizontal="left" vertical="center" wrapText="1"/>
    </xf>
    <xf numFmtId="0" fontId="1" fillId="7" borderId="38" xfId="0" applyFont="1" applyFill="1" applyBorder="1" applyAlignment="1">
      <alignment horizontal="left" vertical="center" wrapText="1"/>
    </xf>
    <xf numFmtId="0" fontId="0" fillId="0" borderId="14" xfId="0" applyBorder="1" applyAlignment="1">
      <alignment horizontal="left" vertical="center" wrapText="1"/>
    </xf>
    <xf numFmtId="0" fontId="0" fillId="0" borderId="37" xfId="0" applyBorder="1" applyAlignment="1">
      <alignment horizontal="left" vertical="center" wrapText="1"/>
    </xf>
    <xf numFmtId="0" fontId="0" fillId="0" borderId="44" xfId="0" applyBorder="1" applyAlignment="1">
      <alignment horizontal="left" vertical="center" wrapText="1"/>
    </xf>
    <xf numFmtId="0" fontId="0" fillId="0" borderId="8" xfId="0" applyBorder="1" applyAlignment="1">
      <alignment horizontal="left" vertical="center" wrapText="1"/>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7" xfId="0" applyBorder="1" applyAlignment="1">
      <alignment horizontal="left"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49" xfId="0" applyBorder="1" applyAlignment="1">
      <alignment horizontal="left" vertical="center" wrapText="1"/>
    </xf>
    <xf numFmtId="0" fontId="0" fillId="0" borderId="50" xfId="0" applyBorder="1" applyAlignment="1">
      <alignment horizontal="left" vertical="center" wrapText="1"/>
    </xf>
    <xf numFmtId="0" fontId="0" fillId="0" borderId="12"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7"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1" fillId="4" borderId="9" xfId="0" applyFont="1" applyFill="1" applyBorder="1" applyAlignment="1">
      <alignment horizontal="left"/>
    </xf>
    <xf numFmtId="0" fontId="1" fillId="4" borderId="10" xfId="0" applyFont="1" applyFill="1" applyBorder="1" applyAlignment="1">
      <alignment horizontal="left"/>
    </xf>
    <xf numFmtId="0" fontId="1" fillId="4" borderId="11" xfId="0" applyFont="1" applyFill="1" applyBorder="1" applyAlignment="1">
      <alignment horizontal="left"/>
    </xf>
    <xf numFmtId="0" fontId="0" fillId="0" borderId="33" xfId="0" applyBorder="1" applyAlignment="1">
      <alignment horizontal="left" vertical="top" wrapText="1"/>
    </xf>
    <xf numFmtId="0" fontId="0" fillId="0" borderId="21" xfId="0" applyBorder="1" applyAlignment="1">
      <alignment horizontal="left" vertical="top" wrapText="1"/>
    </xf>
    <xf numFmtId="0" fontId="0" fillId="0" borderId="20"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35" xfId="0" applyBorder="1" applyAlignment="1">
      <alignment horizontal="left" vertical="top" wrapText="1"/>
    </xf>
    <xf numFmtId="0" fontId="0" fillId="0" borderId="4" xfId="0" applyBorder="1" applyAlignment="1">
      <alignment horizontal="left" vertical="top" wrapText="1"/>
    </xf>
    <xf numFmtId="0" fontId="0" fillId="0" borderId="19" xfId="0" applyBorder="1" applyAlignment="1">
      <alignment horizontal="left" vertical="top" wrapText="1"/>
    </xf>
    <xf numFmtId="0" fontId="0" fillId="0" borderId="36" xfId="0" applyBorder="1" applyAlignment="1">
      <alignment horizontal="left" vertical="top" wrapText="1"/>
    </xf>
    <xf numFmtId="0" fontId="0" fillId="0" borderId="16" xfId="0" applyBorder="1" applyAlignment="1">
      <alignment horizontal="left" vertical="center" wrapText="1"/>
    </xf>
    <xf numFmtId="0" fontId="0" fillId="0" borderId="40" xfId="0" applyBorder="1" applyAlignment="1">
      <alignment horizontal="left" vertical="center" wrapText="1"/>
    </xf>
    <xf numFmtId="0" fontId="1" fillId="4" borderId="41" xfId="0" applyFont="1" applyFill="1" applyBorder="1" applyAlignment="1">
      <alignment horizontal="center" vertical="top" wrapText="1"/>
    </xf>
    <xf numFmtId="0" fontId="1" fillId="4" borderId="42" xfId="0" applyFont="1" applyFill="1" applyBorder="1" applyAlignment="1">
      <alignment horizontal="center" vertical="top" wrapText="1"/>
    </xf>
    <xf numFmtId="0" fontId="1" fillId="4" borderId="43" xfId="0" applyFont="1" applyFill="1" applyBorder="1" applyAlignment="1">
      <alignment horizontal="center" vertical="top" wrapText="1"/>
    </xf>
    <xf numFmtId="0" fontId="1" fillId="4" borderId="2" xfId="0" applyFont="1" applyFill="1" applyBorder="1" applyAlignment="1">
      <alignment horizontal="center"/>
    </xf>
    <xf numFmtId="0" fontId="1" fillId="4" borderId="34" xfId="0" applyFont="1" applyFill="1" applyBorder="1" applyAlignment="1">
      <alignment horizontal="center"/>
    </xf>
    <xf numFmtId="0" fontId="1" fillId="4" borderId="21" xfId="0" applyFont="1" applyFill="1" applyBorder="1" applyAlignment="1">
      <alignment horizontal="center"/>
    </xf>
    <xf numFmtId="0" fontId="1" fillId="4" borderId="20" xfId="0" applyFont="1" applyFill="1" applyBorder="1" applyAlignment="1">
      <alignment horizontal="center"/>
    </xf>
    <xf numFmtId="0" fontId="1" fillId="4" borderId="9" xfId="0" applyFont="1" applyFill="1" applyBorder="1" applyAlignment="1">
      <alignment horizontal="center" vertical="center" wrapText="1"/>
    </xf>
    <xf numFmtId="0" fontId="1" fillId="4" borderId="38" xfId="0" applyFont="1" applyFill="1" applyBorder="1" applyAlignment="1">
      <alignment horizontal="center" vertical="center" wrapText="1"/>
    </xf>
    <xf numFmtId="0" fontId="0" fillId="0" borderId="12" xfId="0" applyBorder="1" applyAlignment="1">
      <alignment horizontal="left" vertical="center" wrapText="1"/>
    </xf>
    <xf numFmtId="0" fontId="0" fillId="0" borderId="39" xfId="0" applyBorder="1" applyAlignment="1">
      <alignment horizontal="left" vertical="center" wrapText="1"/>
    </xf>
    <xf numFmtId="0" fontId="11" fillId="6" borderId="0" xfId="0" applyFont="1" applyFill="1" applyAlignment="1">
      <alignment horizontal="center" vertical="center"/>
    </xf>
    <xf numFmtId="0" fontId="1" fillId="2" borderId="2" xfId="0" applyFont="1" applyFill="1" applyBorder="1" applyAlignment="1">
      <alignment horizontal="center"/>
    </xf>
    <xf numFmtId="0" fontId="1" fillId="2" borderId="34" xfId="0" applyFont="1" applyFill="1" applyBorder="1" applyAlignment="1">
      <alignment horizontal="center"/>
    </xf>
    <xf numFmtId="0" fontId="1" fillId="2" borderId="22" xfId="0" applyFont="1" applyFill="1" applyBorder="1" applyAlignment="1">
      <alignment horizontal="center"/>
    </xf>
    <xf numFmtId="0" fontId="1" fillId="2" borderId="9" xfId="0" applyFont="1" applyFill="1" applyBorder="1" applyAlignment="1">
      <alignment horizontal="center"/>
    </xf>
    <xf numFmtId="0" fontId="1" fillId="2" borderId="11" xfId="0" applyFont="1" applyFill="1" applyBorder="1" applyAlignment="1">
      <alignment horizontal="center"/>
    </xf>
    <xf numFmtId="0" fontId="1" fillId="2" borderId="9" xfId="0" applyFont="1" applyFill="1" applyBorder="1" applyAlignment="1">
      <alignment horizontal="left" vertical="top"/>
    </xf>
    <xf numFmtId="0" fontId="1" fillId="2" borderId="11" xfId="0" applyFont="1" applyFill="1" applyBorder="1" applyAlignment="1">
      <alignment horizontal="left" vertical="top"/>
    </xf>
    <xf numFmtId="0" fontId="1" fillId="0" borderId="55" xfId="0" applyFont="1" applyBorder="1" applyAlignment="1">
      <alignment horizontal="left" vertical="center"/>
    </xf>
    <xf numFmtId="0" fontId="1" fillId="0" borderId="56" xfId="0" applyFont="1" applyBorder="1" applyAlignment="1">
      <alignment horizontal="left" vertical="center"/>
    </xf>
    <xf numFmtId="0" fontId="1" fillId="4" borderId="51" xfId="0" applyFont="1" applyFill="1" applyBorder="1" applyAlignment="1">
      <alignment horizontal="left" vertical="center"/>
    </xf>
    <xf numFmtId="0" fontId="1" fillId="4" borderId="53" xfId="0" applyFont="1" applyFill="1" applyBorder="1" applyAlignment="1">
      <alignment horizontal="left" vertical="center"/>
    </xf>
    <xf numFmtId="0" fontId="1" fillId="0" borderId="54" xfId="0" applyFont="1" applyBorder="1" applyAlignment="1">
      <alignment horizontal="left" vertical="center"/>
    </xf>
    <xf numFmtId="0" fontId="1" fillId="0" borderId="0" xfId="0" applyFont="1" applyAlignment="1">
      <alignment horizontal="left" vertical="center"/>
    </xf>
    <xf numFmtId="8" fontId="0" fillId="0" borderId="55" xfId="0" applyNumberFormat="1" applyBorder="1" applyAlignment="1">
      <alignment horizontal="center"/>
    </xf>
    <xf numFmtId="0" fontId="0" fillId="0" borderId="57" xfId="0" applyBorder="1" applyAlignment="1">
      <alignment horizontal="center"/>
    </xf>
    <xf numFmtId="165" fontId="0" fillId="0" borderId="55" xfId="0" applyNumberFormat="1" applyBorder="1" applyAlignment="1">
      <alignment horizontal="center"/>
    </xf>
    <xf numFmtId="165" fontId="0" fillId="0" borderId="57" xfId="0" applyNumberFormat="1" applyBorder="1" applyAlignment="1">
      <alignment horizontal="center"/>
    </xf>
    <xf numFmtId="0" fontId="1" fillId="0" borderId="59" xfId="0" applyFont="1" applyBorder="1" applyAlignment="1">
      <alignment horizontal="left" vertical="center"/>
    </xf>
    <xf numFmtId="0" fontId="10" fillId="3" borderId="0" xfId="0" applyFont="1" applyFill="1" applyAlignment="1">
      <alignment horizontal="left" vertical="center"/>
    </xf>
    <xf numFmtId="0" fontId="9" fillId="3" borderId="0" xfId="0" applyFont="1" applyFill="1" applyAlignment="1">
      <alignment horizontal="center"/>
    </xf>
    <xf numFmtId="0" fontId="1" fillId="4" borderId="52" xfId="0" applyFont="1" applyFill="1" applyBorder="1" applyAlignment="1">
      <alignment horizontal="left" vertical="center"/>
    </xf>
    <xf numFmtId="0" fontId="1" fillId="0" borderId="51" xfId="0" applyFont="1" applyBorder="1" applyAlignment="1">
      <alignment horizontal="left" vertical="center"/>
    </xf>
    <xf numFmtId="0" fontId="1" fillId="0" borderId="52" xfId="0" applyFont="1" applyBorder="1" applyAlignment="1">
      <alignment horizontal="left" vertical="center"/>
    </xf>
    <xf numFmtId="0" fontId="0" fillId="0" borderId="12" xfId="0" applyFill="1" applyBorder="1" applyAlignment="1">
      <alignment horizontal="left" vertical="center" wrapText="1"/>
    </xf>
    <xf numFmtId="0" fontId="0" fillId="0" borderId="8" xfId="0" applyFill="1" applyBorder="1" applyAlignment="1">
      <alignment horizontal="left" vertical="center" wrapText="1"/>
    </xf>
    <xf numFmtId="0" fontId="0" fillId="0" borderId="39" xfId="0" applyFill="1" applyBorder="1" applyAlignment="1">
      <alignment horizontal="left" vertical="center" wrapText="1"/>
    </xf>
    <xf numFmtId="0" fontId="0" fillId="0" borderId="29" xfId="0" applyFill="1" applyBorder="1" applyAlignment="1">
      <alignment vertical="center" wrapText="1"/>
    </xf>
    <xf numFmtId="0" fontId="0" fillId="0" borderId="14" xfId="0" applyFill="1" applyBorder="1" applyAlignment="1">
      <alignment horizontal="left" vertical="center" wrapText="1"/>
    </xf>
    <xf numFmtId="0" fontId="0" fillId="0" borderId="7" xfId="0" applyFill="1" applyBorder="1" applyAlignment="1">
      <alignment horizontal="left" vertical="center" wrapText="1"/>
    </xf>
    <xf numFmtId="0" fontId="0" fillId="0" borderId="37" xfId="0" applyFill="1" applyBorder="1" applyAlignment="1">
      <alignment horizontal="left" vertical="center" wrapText="1"/>
    </xf>
    <xf numFmtId="0" fontId="0" fillId="0" borderId="27" xfId="0" applyFill="1" applyBorder="1" applyAlignment="1">
      <alignment vertical="center" wrapText="1"/>
    </xf>
    <xf numFmtId="0" fontId="0" fillId="0" borderId="23" xfId="0" applyFill="1" applyBorder="1" applyAlignment="1">
      <alignment horizontal="left" vertical="center" wrapText="1"/>
    </xf>
    <xf numFmtId="0" fontId="0" fillId="0" borderId="66" xfId="0" applyFill="1" applyBorder="1" applyAlignment="1">
      <alignment horizontal="left" vertical="center" wrapText="1"/>
    </xf>
    <xf numFmtId="0" fontId="0" fillId="0" borderId="67" xfId="0" applyFill="1" applyBorder="1" applyAlignment="1">
      <alignment horizontal="left" vertical="center" wrapText="1"/>
    </xf>
    <xf numFmtId="0" fontId="0" fillId="0" borderId="62" xfId="0" applyFill="1" applyBorder="1" applyAlignment="1">
      <alignment vertical="center" wrapText="1"/>
    </xf>
    <xf numFmtId="0" fontId="1" fillId="0" borderId="16"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40" xfId="0" applyFont="1" applyFill="1" applyBorder="1" applyAlignment="1">
      <alignment horizontal="left" vertical="center" wrapText="1"/>
    </xf>
    <xf numFmtId="0" fontId="1" fillId="0" borderId="28" xfId="0" applyFont="1" applyFill="1" applyBorder="1" applyAlignment="1">
      <alignment vertical="center" wrapText="1"/>
    </xf>
  </cellXfs>
  <cellStyles count="2">
    <cellStyle name="Normal" xfId="0" builtinId="0"/>
    <cellStyle name="Percent" xfId="1" builtinId="5"/>
  </cellStyles>
  <dxfs count="28">
    <dxf>
      <numFmt numFmtId="2" formatCode="0.00"/>
      <fill>
        <patternFill patternType="solid">
          <fgColor indexed="64"/>
          <bgColor theme="7" tint="0.79998168889431442"/>
        </patternFill>
      </fill>
      <border diagonalUp="0" diagonalDown="0" outline="0">
        <left/>
        <right/>
        <top/>
        <bottom style="medium">
          <color indexed="64"/>
        </bottom>
      </border>
    </dxf>
    <dxf>
      <numFmt numFmtId="2" formatCode="0.00"/>
      <fill>
        <patternFill patternType="solid">
          <fgColor indexed="64"/>
          <bgColor theme="7" tint="0.79998168889431442"/>
        </patternFill>
      </fill>
      <border diagonalUp="0" diagonalDown="0" outline="0">
        <left/>
        <right/>
        <top/>
        <bottom style="medium">
          <color indexed="64"/>
        </bottom>
      </border>
    </dxf>
    <dxf>
      <font>
        <b val="0"/>
        <i val="0"/>
        <strike val="0"/>
        <condense val="0"/>
        <extend val="0"/>
        <outline val="0"/>
        <shadow val="0"/>
        <u val="none"/>
        <vertAlign val="baseline"/>
        <sz val="10"/>
        <color theme="1"/>
        <name val="Arial Unicode MS"/>
        <scheme val="none"/>
      </font>
      <numFmt numFmtId="164" formatCode="0.0000"/>
      <fill>
        <patternFill patternType="solid">
          <fgColor indexed="64"/>
          <bgColor theme="7" tint="0.79998168889431442"/>
        </patternFill>
      </fill>
      <alignment horizontal="general"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0"/>
        <color theme="1"/>
        <name val="Arial Unicode MS"/>
        <scheme val="none"/>
      </font>
      <numFmt numFmtId="164" formatCode="0.0000"/>
      <fill>
        <patternFill patternType="solid">
          <fgColor indexed="64"/>
          <bgColor theme="7" tint="0.79998168889431442"/>
        </patternFill>
      </fill>
      <alignment horizontal="general" vertical="center" textRotation="0" wrapText="0" indent="0" justifyLastLine="0" shrinkToFit="0" readingOrder="0"/>
      <border diagonalUp="0" diagonalDown="0" outline="0">
        <left/>
        <right/>
        <top/>
        <bottom style="medium">
          <color indexed="64"/>
        </bottom>
      </border>
    </dxf>
    <dxf>
      <numFmt numFmtId="164" formatCode="0.0000"/>
      <fill>
        <patternFill patternType="solid">
          <fgColor indexed="64"/>
          <bgColor theme="7" tint="0.79998168889431442"/>
        </patternFill>
      </fill>
      <border diagonalUp="0" diagonalDown="0" outline="0">
        <left/>
        <right/>
        <top/>
        <bottom style="medium">
          <color indexed="64"/>
        </bottom>
      </border>
    </dxf>
    <dxf>
      <numFmt numFmtId="164" formatCode="0.0000"/>
      <fill>
        <patternFill patternType="solid">
          <fgColor indexed="64"/>
          <bgColor theme="7" tint="0.79998168889431442"/>
        </patternFill>
      </fill>
      <border diagonalUp="0" diagonalDown="0" outline="0">
        <left/>
        <right/>
        <top/>
        <bottom style="medium">
          <color indexed="64"/>
        </bottom>
      </border>
    </dxf>
    <dxf>
      <numFmt numFmtId="164" formatCode="0.0000"/>
      <fill>
        <patternFill patternType="solid">
          <fgColor indexed="64"/>
          <bgColor theme="7" tint="0.79998168889431442"/>
        </patternFill>
      </fill>
      <border diagonalUp="0" diagonalDown="0" outline="0">
        <left/>
        <right/>
        <top/>
        <bottom style="medium">
          <color indexed="64"/>
        </bottom>
      </border>
    </dxf>
    <dxf>
      <fill>
        <patternFill patternType="solid">
          <fgColor indexed="64"/>
          <bgColor theme="7" tint="0.79998168889431442"/>
        </patternFill>
      </fill>
      <border diagonalUp="0" diagonalDown="0" outline="0">
        <left/>
        <right/>
        <top/>
        <bottom style="medium">
          <color indexed="64"/>
        </bottom>
      </border>
    </dxf>
    <dxf>
      <fill>
        <patternFill patternType="solid">
          <fgColor indexed="64"/>
          <bgColor theme="7" tint="0.79998168889431442"/>
        </patternFill>
      </fill>
      <border diagonalUp="0" diagonalDown="0" outline="0">
        <left/>
        <right/>
        <top/>
        <bottom style="medium">
          <color indexed="64"/>
        </bottom>
      </border>
    </dxf>
    <dxf>
      <border outline="0">
        <left style="medium">
          <color indexed="64"/>
        </left>
        <right style="medium">
          <color indexed="64"/>
        </right>
        <top style="medium">
          <color indexed="64"/>
        </top>
        <bottom style="medium">
          <color indexed="64"/>
        </bottom>
      </border>
    </dxf>
    <dxf>
      <fill>
        <patternFill patternType="solid">
          <fgColor indexed="64"/>
          <bgColor theme="7" tint="0.79998168889431442"/>
        </patternFill>
      </fill>
    </dxf>
    <dxf>
      <border outline="0">
        <bottom style="medium">
          <color indexed="64"/>
        </bottom>
      </border>
    </dxf>
    <dxf>
      <font>
        <strike val="0"/>
        <outline val="0"/>
        <shadow val="0"/>
        <u val="none"/>
        <vertAlign val="baseline"/>
        <sz val="11"/>
        <color theme="1" tint="4.9989318521683403E-2"/>
        <name val="Calibri"/>
        <family val="2"/>
        <scheme val="minor"/>
      </font>
      <fill>
        <patternFill patternType="solid">
          <fgColor indexed="64"/>
          <bgColor theme="7" tint="0.79998168889431442"/>
        </patternFill>
      </fill>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numFmt numFmtId="164" formatCode="0.0000"/>
      <alignment horizontal="righ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accent1">
                    <a:lumMod val="75000"/>
                  </a:schemeClr>
                </a:solidFill>
                <a:latin typeface="+mj-lt"/>
                <a:ea typeface="+mj-ea"/>
                <a:cs typeface="+mj-cs"/>
              </a:defRPr>
            </a:pPr>
            <a:r>
              <a:rPr lang="en-IN" b="1">
                <a:solidFill>
                  <a:srgbClr val="0070C0"/>
                </a:solidFill>
              </a:rPr>
              <a:t>Net</a:t>
            </a:r>
            <a:r>
              <a:rPr lang="en-IN" b="1" baseline="0">
                <a:solidFill>
                  <a:srgbClr val="0070C0"/>
                </a:solidFill>
              </a:rPr>
              <a:t> Cashflow</a:t>
            </a:r>
            <a:endParaRPr lang="en-IN" b="1">
              <a:solidFill>
                <a:srgbClr val="0070C0"/>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accent1">
                  <a:lumMod val="75000"/>
                </a:schemeClr>
              </a:solidFill>
              <a:latin typeface="+mj-lt"/>
              <a:ea typeface="+mj-ea"/>
              <a:cs typeface="+mj-cs"/>
            </a:defRPr>
          </a:pPr>
          <a:endParaRPr lang="en-IN"/>
        </a:p>
      </c:txPr>
    </c:title>
    <c:autoTitleDeleted val="0"/>
    <c:plotArea>
      <c:layout/>
      <c:lineChart>
        <c:grouping val="standard"/>
        <c:varyColors val="0"/>
        <c:ser>
          <c:idx val="0"/>
          <c:order val="0"/>
          <c:spPr>
            <a:ln w="38100" cap="rnd">
              <a:solidFill>
                <a:schemeClr val="accent1"/>
              </a:solidFill>
              <a:round/>
            </a:ln>
            <a:effectLst/>
          </c:spPr>
          <c:marker>
            <c:symbol val="none"/>
          </c:marker>
          <c:val>
            <c:numRef>
              <c:f>Cashflow!$M$4:$M$53</c:f>
              <c:numCache>
                <c:formatCode>0.00</c:formatCode>
                <c:ptCount val="50"/>
                <c:pt idx="0">
                  <c:v>-29.485129615906772</c:v>
                </c:pt>
                <c:pt idx="1">
                  <c:v>468.19759466904083</c:v>
                </c:pt>
                <c:pt idx="2">
                  <c:v>482.14877759436501</c:v>
                </c:pt>
                <c:pt idx="3">
                  <c:v>495.37988088076997</c:v>
                </c:pt>
                <c:pt idx="4">
                  <c:v>507.75672495075082</c:v>
                </c:pt>
                <c:pt idx="5">
                  <c:v>518.84170598317496</c:v>
                </c:pt>
                <c:pt idx="6">
                  <c:v>528.5750609675506</c:v>
                </c:pt>
                <c:pt idx="7">
                  <c:v>536.50018922069648</c:v>
                </c:pt>
                <c:pt idx="8">
                  <c:v>542.24103670303714</c:v>
                </c:pt>
                <c:pt idx="9">
                  <c:v>545.60581322908206</c:v>
                </c:pt>
                <c:pt idx="10">
                  <c:v>545.80788567019852</c:v>
                </c:pt>
                <c:pt idx="11">
                  <c:v>542.7205005121109</c:v>
                </c:pt>
                <c:pt idx="12">
                  <c:v>535.4354884830642</c:v>
                </c:pt>
                <c:pt idx="13">
                  <c:v>523.60370621363063</c:v>
                </c:pt>
                <c:pt idx="14">
                  <c:v>506.48560116260347</c:v>
                </c:pt>
                <c:pt idx="15">
                  <c:v>483.32957269506176</c:v>
                </c:pt>
                <c:pt idx="16">
                  <c:v>453.28065582245779</c:v>
                </c:pt>
                <c:pt idx="17">
                  <c:v>415.57657845186316</c:v>
                </c:pt>
                <c:pt idx="18">
                  <c:v>369.27160775083189</c:v>
                </c:pt>
                <c:pt idx="19">
                  <c:v>313.33726660951629</c:v>
                </c:pt>
                <c:pt idx="20">
                  <c:v>-291.65305292532173</c:v>
                </c:pt>
                <c:pt idx="21">
                  <c:v>-392.42733314474037</c:v>
                </c:pt>
                <c:pt idx="22">
                  <c:v>-506.63153215749838</c:v>
                </c:pt>
                <c:pt idx="23">
                  <c:v>-635.45580710016679</c:v>
                </c:pt>
                <c:pt idx="24">
                  <c:v>-779.80306424397168</c:v>
                </c:pt>
                <c:pt idx="25">
                  <c:v>-940.79988052439808</c:v>
                </c:pt>
                <c:pt idx="26">
                  <c:v>-1119.4001668252768</c:v>
                </c:pt>
                <c:pt idx="27">
                  <c:v>-1316.5186287373876</c:v>
                </c:pt>
                <c:pt idx="28">
                  <c:v>-1532.8927765150443</c:v>
                </c:pt>
                <c:pt idx="29">
                  <c:v>-1769.0282757800953</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57CB-4CE9-AE81-171B5E8DA1FE}"/>
            </c:ext>
          </c:extLst>
        </c:ser>
        <c:dLbls>
          <c:showLegendKey val="0"/>
          <c:showVal val="0"/>
          <c:showCatName val="0"/>
          <c:showSerName val="0"/>
          <c:showPercent val="0"/>
          <c:showBubbleSize val="0"/>
        </c:dLbls>
        <c:smooth val="0"/>
        <c:axId val="151132752"/>
        <c:axId val="400455360"/>
      </c:lineChart>
      <c:catAx>
        <c:axId val="1511327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0455360"/>
        <c:crosses val="autoZero"/>
        <c:auto val="1"/>
        <c:lblAlgn val="ctr"/>
        <c:lblOffset val="100"/>
        <c:noMultiLvlLbl val="0"/>
      </c:catAx>
      <c:valAx>
        <c:axId val="4004553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27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rgbClr val="0070C0"/>
                </a:solidFill>
                <a:latin typeface="+mn-lt"/>
                <a:ea typeface="+mn-ea"/>
                <a:cs typeface="+mn-cs"/>
              </a:defRPr>
            </a:pPr>
            <a:r>
              <a:rPr lang="en-US" sz="2000" b="1">
                <a:solidFill>
                  <a:srgbClr val="0070C0"/>
                </a:solidFill>
              </a:rPr>
              <a:t>Probability of Death</a:t>
            </a:r>
          </a:p>
        </c:rich>
      </c:tx>
      <c:layout>
        <c:manualLayout>
          <c:xMode val="edge"/>
          <c:yMode val="edge"/>
          <c:x val="0.29926099287966845"/>
          <c:y val="3.397026843644929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rgbClr val="0070C0"/>
              </a:solidFill>
              <a:latin typeface="+mn-lt"/>
              <a:ea typeface="+mn-ea"/>
              <a:cs typeface="+mn-cs"/>
            </a:defRPr>
          </a:pPr>
          <a:endParaRPr lang="en-US"/>
        </a:p>
      </c:txPr>
    </c:title>
    <c:autoTitleDeleted val="0"/>
    <c:plotArea>
      <c:layout/>
      <c:lineChart>
        <c:grouping val="standard"/>
        <c:varyColors val="0"/>
        <c:ser>
          <c:idx val="0"/>
          <c:order val="0"/>
          <c:tx>
            <c:strRef>
              <c:f>Calculations!$F$3</c:f>
              <c:strCache>
                <c:ptCount val="1"/>
                <c:pt idx="0">
                  <c:v>Probability of Death</c:v>
                </c:pt>
              </c:strCache>
            </c:strRef>
          </c:tx>
          <c:spPr>
            <a:ln w="22225" cap="rnd" cmpd="sng" algn="ctr">
              <a:solidFill>
                <a:schemeClr val="accent1"/>
              </a:solidFill>
              <a:round/>
            </a:ln>
            <a:effectLst/>
          </c:spPr>
          <c:marker>
            <c:symbol val="none"/>
          </c:marker>
          <c:val>
            <c:numRef>
              <c:f>Calculations!$F$4:$F$53</c:f>
              <c:numCache>
                <c:formatCode>0.0000</c:formatCode>
                <c:ptCount val="50"/>
                <c:pt idx="0">
                  <c:v>9.3700000000000001E-4</c:v>
                </c:pt>
                <c:pt idx="1">
                  <c:v>1.013049882E-3</c:v>
                </c:pt>
                <c:pt idx="2">
                  <c:v>1.101847144930272E-3</c:v>
                </c:pt>
                <c:pt idx="3">
                  <c:v>1.2043133083914684E-3</c:v>
                </c:pt>
                <c:pt idx="4">
                  <c:v>1.3213520088850282E-3</c:v>
                </c:pt>
                <c:pt idx="5">
                  <c:v>1.4568288711657371E-3</c:v>
                </c:pt>
                <c:pt idx="6">
                  <c:v>1.6105902174486659E-3</c:v>
                </c:pt>
                <c:pt idx="7">
                  <c:v>1.7864217434580565E-3</c:v>
                </c:pt>
                <c:pt idx="8">
                  <c:v>1.9870537424220313E-3</c:v>
                </c:pt>
                <c:pt idx="9">
                  <c:v>2.2131702380451903E-3</c:v>
                </c:pt>
                <c:pt idx="10">
                  <c:v>2.4713038790908797E-3</c:v>
                </c:pt>
                <c:pt idx="11">
                  <c:v>2.7609578667203327E-3</c:v>
                </c:pt>
                <c:pt idx="12">
                  <c:v>3.089389022179138E-3</c:v>
                </c:pt>
                <c:pt idx="13">
                  <c:v>3.4577683494243562E-3</c:v>
                </c:pt>
                <c:pt idx="14">
                  <c:v>3.8709896800139354E-3</c:v>
                </c:pt>
                <c:pt idx="15">
                  <c:v>4.333669581320791E-3</c:v>
                </c:pt>
                <c:pt idx="16">
                  <c:v>4.8510560796841328E-3</c:v>
                </c:pt>
                <c:pt idx="17">
                  <c:v>5.4270127968742317E-3</c:v>
                </c:pt>
                <c:pt idx="18">
                  <c:v>6.0668347449346306E-3</c:v>
                </c:pt>
                <c:pt idx="19">
                  <c:v>6.7761412506190987E-3</c:v>
                </c:pt>
                <c:pt idx="20">
                  <c:v>7.5588357882301676E-3</c:v>
                </c:pt>
                <c:pt idx="21">
                  <c:v>8.4207520639616937E-3</c:v>
                </c:pt>
                <c:pt idx="22">
                  <c:v>9.3665803875169033E-3</c:v>
                </c:pt>
                <c:pt idx="23">
                  <c:v>1.0401507370864838E-2</c:v>
                </c:pt>
                <c:pt idx="24">
                  <c:v>1.1527252038752803E-2</c:v>
                </c:pt>
                <c:pt idx="25">
                  <c:v>1.2747318669435083E-2</c:v>
                </c:pt>
                <c:pt idx="26">
                  <c:v>1.4062921592181669E-2</c:v>
                </c:pt>
                <c:pt idx="27">
                  <c:v>1.5474406127890141E-2</c:v>
                </c:pt>
                <c:pt idx="28">
                  <c:v>1.6979888291298012E-2</c:v>
                </c:pt>
                <c:pt idx="29">
                  <c:v>1.8574796895691002E-2</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B046-421A-94C0-88E75C8DC99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78741336"/>
        <c:axId val="578738096"/>
      </c:lineChart>
      <c:catAx>
        <c:axId val="578741336"/>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8738096"/>
        <c:crosses val="autoZero"/>
        <c:auto val="1"/>
        <c:lblAlgn val="ctr"/>
        <c:lblOffset val="100"/>
        <c:noMultiLvlLbl val="0"/>
      </c:catAx>
      <c:valAx>
        <c:axId val="578738096"/>
        <c:scaling>
          <c:orientation val="minMax"/>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874133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0070C0"/>
                </a:solidFill>
                <a:latin typeface="+mn-lt"/>
                <a:ea typeface="+mn-ea"/>
                <a:cs typeface="+mn-cs"/>
              </a:defRPr>
            </a:pPr>
            <a:r>
              <a:rPr lang="en-US" sz="2000">
                <a:solidFill>
                  <a:srgbClr val="0070C0"/>
                </a:solidFill>
              </a:rPr>
              <a:t>Reserves</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rgbClr val="0070C0"/>
              </a:solidFill>
              <a:latin typeface="+mn-lt"/>
              <a:ea typeface="+mn-ea"/>
              <a:cs typeface="+mn-cs"/>
            </a:defRPr>
          </a:pPr>
          <a:endParaRPr lang="en-US"/>
        </a:p>
      </c:txPr>
    </c:title>
    <c:autoTitleDeleted val="0"/>
    <c:plotArea>
      <c:layout/>
      <c:lineChart>
        <c:grouping val="stacked"/>
        <c:varyColors val="0"/>
        <c:ser>
          <c:idx val="0"/>
          <c:order val="0"/>
          <c:tx>
            <c:strRef>
              <c:f>Cashflow!$N$3</c:f>
              <c:strCache>
                <c:ptCount val="1"/>
                <c:pt idx="0">
                  <c:v>Reserves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Cashflow!$N$4:$N$53</c:f>
              <c:numCache>
                <c:formatCode>0.00</c:formatCode>
                <c:ptCount val="50"/>
                <c:pt idx="0">
                  <c:v>-29.485129615906772</c:v>
                </c:pt>
                <c:pt idx="1">
                  <c:v>438.71246505313405</c:v>
                </c:pt>
                <c:pt idx="2">
                  <c:v>920.86124264749901</c:v>
                </c:pt>
                <c:pt idx="3">
                  <c:v>1416.2411235282689</c:v>
                </c:pt>
                <c:pt idx="4">
                  <c:v>1923.9978484790197</c:v>
                </c:pt>
                <c:pt idx="5">
                  <c:v>2442.8395544621944</c:v>
                </c:pt>
                <c:pt idx="6">
                  <c:v>2971.414615429745</c:v>
                </c:pt>
                <c:pt idx="7">
                  <c:v>3507.9148046504415</c:v>
                </c:pt>
                <c:pt idx="8">
                  <c:v>4050.1558413534785</c:v>
                </c:pt>
                <c:pt idx="9">
                  <c:v>4595.7616545825604</c:v>
                </c:pt>
                <c:pt idx="10">
                  <c:v>5141.569540252759</c:v>
                </c:pt>
                <c:pt idx="11">
                  <c:v>5684.2900407648704</c:v>
                </c:pt>
                <c:pt idx="12">
                  <c:v>6219.7255292479349</c:v>
                </c:pt>
                <c:pt idx="13">
                  <c:v>6743.329235461566</c:v>
                </c:pt>
                <c:pt idx="14">
                  <c:v>7249.8148366241694</c:v>
                </c:pt>
                <c:pt idx="15">
                  <c:v>7733.1444093192313</c:v>
                </c:pt>
                <c:pt idx="16">
                  <c:v>8186.4250651416887</c:v>
                </c:pt>
                <c:pt idx="17">
                  <c:v>8602.0016435935522</c:v>
                </c:pt>
                <c:pt idx="18">
                  <c:v>8971.2732513443843</c:v>
                </c:pt>
                <c:pt idx="19">
                  <c:v>9284.6105179539009</c:v>
                </c:pt>
                <c:pt idx="20">
                  <c:v>8992.9574650285795</c:v>
                </c:pt>
                <c:pt idx="21">
                  <c:v>8600.5301318838392</c:v>
                </c:pt>
                <c:pt idx="22">
                  <c:v>8093.8985997263408</c:v>
                </c:pt>
                <c:pt idx="23">
                  <c:v>7458.4427926261742</c:v>
                </c:pt>
                <c:pt idx="24">
                  <c:v>6678.6397283822025</c:v>
                </c:pt>
                <c:pt idx="25">
                  <c:v>5737.8398478578047</c:v>
                </c:pt>
                <c:pt idx="26">
                  <c:v>4618.4396810325279</c:v>
                </c:pt>
                <c:pt idx="27">
                  <c:v>3301.9210522951403</c:v>
                </c:pt>
                <c:pt idx="28">
                  <c:v>1769.028275780096</c:v>
                </c:pt>
                <c:pt idx="29">
                  <c:v>6.8212102632969618E-13</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3DA0-4160-BAA9-19F200271DBB}"/>
            </c:ext>
          </c:extLst>
        </c:ser>
        <c:dLbls>
          <c:showLegendKey val="0"/>
          <c:showVal val="0"/>
          <c:showCatName val="0"/>
          <c:showSerName val="0"/>
          <c:showPercent val="0"/>
          <c:showBubbleSize val="0"/>
        </c:dLbls>
        <c:smooth val="0"/>
        <c:axId val="400445280"/>
        <c:axId val="400454280"/>
      </c:lineChart>
      <c:catAx>
        <c:axId val="400445280"/>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4280"/>
        <c:crosses val="autoZero"/>
        <c:auto val="1"/>
        <c:lblAlgn val="ctr"/>
        <c:lblOffset val="100"/>
        <c:noMultiLvlLbl val="0"/>
      </c:catAx>
      <c:valAx>
        <c:axId val="400454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4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70C0"/>
                </a:solidFill>
              </a:rPr>
              <a:t>Death Benefit Outgo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Cashflow!$F$3</c:f>
              <c:strCache>
                <c:ptCount val="1"/>
                <c:pt idx="0">
                  <c:v>Death Benefit Outgo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Cashflow!$F$4:$F$53</c:f>
              <c:numCache>
                <c:formatCode>0.00</c:formatCode>
                <c:ptCount val="50"/>
                <c:pt idx="0">
                  <c:v>93.7</c:v>
                </c:pt>
                <c:pt idx="1">
                  <c:v>101.3049882</c:v>
                </c:pt>
                <c:pt idx="2">
                  <c:v>110.1847144930272</c:v>
                </c:pt>
                <c:pt idx="3">
                  <c:v>120.43133083914684</c:v>
                </c:pt>
                <c:pt idx="4">
                  <c:v>132.13520088850282</c:v>
                </c:pt>
                <c:pt idx="5">
                  <c:v>145.68288711657371</c:v>
                </c:pt>
                <c:pt idx="6">
                  <c:v>161.05902174486658</c:v>
                </c:pt>
                <c:pt idx="7">
                  <c:v>178.64217434580564</c:v>
                </c:pt>
                <c:pt idx="8">
                  <c:v>198.70537424220313</c:v>
                </c:pt>
                <c:pt idx="9">
                  <c:v>221.31702380451904</c:v>
                </c:pt>
                <c:pt idx="10">
                  <c:v>247.13038790908797</c:v>
                </c:pt>
                <c:pt idx="11">
                  <c:v>276.09578667203328</c:v>
                </c:pt>
                <c:pt idx="12">
                  <c:v>308.93890221791378</c:v>
                </c:pt>
                <c:pt idx="13">
                  <c:v>345.77683494243564</c:v>
                </c:pt>
                <c:pt idx="14">
                  <c:v>387.09896800139353</c:v>
                </c:pt>
                <c:pt idx="15">
                  <c:v>433.36695813207911</c:v>
                </c:pt>
                <c:pt idx="16">
                  <c:v>485.10560796841327</c:v>
                </c:pt>
                <c:pt idx="17">
                  <c:v>542.70127968742315</c:v>
                </c:pt>
                <c:pt idx="18">
                  <c:v>606.68347449346311</c:v>
                </c:pt>
                <c:pt idx="19">
                  <c:v>677.61412506190982</c:v>
                </c:pt>
                <c:pt idx="20">
                  <c:v>755.88357882301682</c:v>
                </c:pt>
                <c:pt idx="21">
                  <c:v>842.07520639616939</c:v>
                </c:pt>
                <c:pt idx="22">
                  <c:v>936.65803875169036</c:v>
                </c:pt>
                <c:pt idx="23">
                  <c:v>1040.1507370864838</c:v>
                </c:pt>
                <c:pt idx="24">
                  <c:v>1152.7252038752804</c:v>
                </c:pt>
                <c:pt idx="25">
                  <c:v>1274.7318669435083</c:v>
                </c:pt>
                <c:pt idx="26">
                  <c:v>1406.2921592181669</c:v>
                </c:pt>
                <c:pt idx="27">
                  <c:v>1547.440612789014</c:v>
                </c:pt>
                <c:pt idx="28">
                  <c:v>1697.9888291298012</c:v>
                </c:pt>
                <c:pt idx="29">
                  <c:v>1857.4796895691002</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CEF4-4E4F-9ABD-5FD4AC5BA42D}"/>
            </c:ext>
          </c:extLst>
        </c:ser>
        <c:dLbls>
          <c:showLegendKey val="0"/>
          <c:showVal val="0"/>
          <c:showCatName val="0"/>
          <c:showSerName val="0"/>
          <c:showPercent val="0"/>
          <c:showBubbleSize val="0"/>
        </c:dLbls>
        <c:marker val="1"/>
        <c:smooth val="0"/>
        <c:axId val="632008216"/>
        <c:axId val="632006416"/>
      </c:lineChart>
      <c:catAx>
        <c:axId val="6320082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06416"/>
        <c:crosses val="autoZero"/>
        <c:auto val="1"/>
        <c:lblAlgn val="ctr"/>
        <c:lblOffset val="100"/>
        <c:noMultiLvlLbl val="0"/>
      </c:catAx>
      <c:valAx>
        <c:axId val="632006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0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u="none" baseline="0"/>
              <a:t>GROSS PREMIUM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Premium_Calculations!$G$3:$L$3</c:f>
              <c:strCache>
                <c:ptCount val="6"/>
                <c:pt idx="0">
                  <c:v>NET PREMIUM</c:v>
                </c:pt>
                <c:pt idx="1">
                  <c:v>Initial Expenses</c:v>
                </c:pt>
                <c:pt idx="2">
                  <c:v>Renewal Expenses</c:v>
                </c:pt>
                <c:pt idx="3">
                  <c:v>Initial Commission</c:v>
                </c:pt>
                <c:pt idx="4">
                  <c:v>Renewal Commission</c:v>
                </c:pt>
                <c:pt idx="5">
                  <c:v>Profit Loading</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44-4DBD-9251-C2BFF45DE9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44-4DBD-9251-C2BFF45DE9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244-4DBD-9251-C2BFF45DE9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244-4DBD-9251-C2BFF45DE9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244-4DBD-9251-C2BFF45DE96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244-4DBD-9251-C2BFF45DE9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Premium_Calculations!$G$3:$L$3</c:f>
              <c:strCache>
                <c:ptCount val="6"/>
                <c:pt idx="0">
                  <c:v>NET PREMIUM</c:v>
                </c:pt>
                <c:pt idx="1">
                  <c:v>Initial Expenses</c:v>
                </c:pt>
                <c:pt idx="2">
                  <c:v>Renewal Expenses</c:v>
                </c:pt>
                <c:pt idx="3">
                  <c:v>Initial Commission</c:v>
                </c:pt>
                <c:pt idx="4">
                  <c:v>Renewal Commission</c:v>
                </c:pt>
                <c:pt idx="5">
                  <c:v>Profit Loading</c:v>
                </c:pt>
              </c:strCache>
            </c:strRef>
          </c:cat>
          <c:val>
            <c:numRef>
              <c:f>Premium_Calculations!$G$86:$L$86</c:f>
              <c:numCache>
                <c:formatCode>0.00</c:formatCode>
                <c:ptCount val="6"/>
                <c:pt idx="0">
                  <c:v>6540.2964696366716</c:v>
                </c:pt>
                <c:pt idx="1">
                  <c:v>183.47105824026653</c:v>
                </c:pt>
                <c:pt idx="2">
                  <c:v>436.79591799257855</c:v>
                </c:pt>
                <c:pt idx="3">
                  <c:v>366.94211648053306</c:v>
                </c:pt>
                <c:pt idx="4">
                  <c:v>363.99659832714883</c:v>
                </c:pt>
                <c:pt idx="5">
                  <c:v>0</c:v>
                </c:pt>
              </c:numCache>
            </c:numRef>
          </c:val>
          <c:extLst>
            <c:ext xmlns:c16="http://schemas.microsoft.com/office/drawing/2014/chart" uri="{C3380CC4-5D6E-409C-BE32-E72D297353CC}">
              <c16:uniqueId val="{00000000-E3E6-42EC-B4FC-9F404DDCB776}"/>
            </c:ext>
          </c:extLst>
        </c:ser>
        <c:dLbls>
          <c:showLegendKey val="0"/>
          <c:showVal val="0"/>
          <c:showCatName val="0"/>
          <c:showSerName val="0"/>
          <c:showPercent val="1"/>
          <c:showBubbleSize val="0"/>
          <c:showLeaderLines val="1"/>
        </c:dLbls>
        <c:firstSliceAng val="0"/>
        <c:holeSize val="50"/>
        <c:extLst>
          <c:ext xmlns:c15="http://schemas.microsoft.com/office/drawing/2012/chart" uri="{02D57815-91ED-43cb-92C2-25804820EDAC}">
            <c15:filteredPieSeries>
              <c15: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244-4DBD-9251-C2BFF45DE9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Premium_Calculations!$G$3:$L$3</c15:sqref>
                        </c15:formulaRef>
                      </c:ext>
                    </c:extLst>
                    <c:strCache>
                      <c:ptCount val="6"/>
                      <c:pt idx="0">
                        <c:v>NET PREMIUM</c:v>
                      </c:pt>
                      <c:pt idx="1">
                        <c:v>Initial Expenses</c:v>
                      </c:pt>
                      <c:pt idx="2">
                        <c:v>Renewal Expenses</c:v>
                      </c:pt>
                      <c:pt idx="3">
                        <c:v>Initial Commission</c:v>
                      </c:pt>
                      <c:pt idx="4">
                        <c:v>Renewal Commission</c:v>
                      </c:pt>
                      <c:pt idx="5">
                        <c:v>Profit Loading</c:v>
                      </c:pt>
                    </c:strCache>
                  </c:strRef>
                </c:cat>
                <c:val>
                  <c:numRef>
                    <c:extLst>
                      <c:ext uri="{02D57815-91ED-43cb-92C2-25804820EDAC}">
                        <c15:formulaRef>
                          <c15:sqref>Premium_Calculations!$H$86</c15:sqref>
                        </c15:formulaRef>
                      </c:ext>
                    </c:extLst>
                    <c:numCache>
                      <c:formatCode>0.00</c:formatCode>
                      <c:ptCount val="1"/>
                      <c:pt idx="0">
                        <c:v>183.47105824026653</c:v>
                      </c:pt>
                    </c:numCache>
                  </c:numRef>
                </c:val>
                <c:extLst>
                  <c:ext xmlns:c16="http://schemas.microsoft.com/office/drawing/2014/chart" uri="{C3380CC4-5D6E-409C-BE32-E72D297353CC}">
                    <c16:uniqueId val="{00000001-E3E6-42EC-B4FC-9F404DDCB776}"/>
                  </c:ext>
                </c:extLst>
              </c15:ser>
            </c15:filteredPieSeries>
            <c15:filteredPieSeries>
              <c15:ser>
                <c:idx val="2"/>
                <c:order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244-4DBD-9251-C2BFF45DE9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Premium_Calculations!$G$3:$L$3</c15:sqref>
                        </c15:formulaRef>
                      </c:ext>
                    </c:extLst>
                    <c:strCache>
                      <c:ptCount val="6"/>
                      <c:pt idx="0">
                        <c:v>NET PREMIUM</c:v>
                      </c:pt>
                      <c:pt idx="1">
                        <c:v>Initial Expenses</c:v>
                      </c:pt>
                      <c:pt idx="2">
                        <c:v>Renewal Expenses</c:v>
                      </c:pt>
                      <c:pt idx="3">
                        <c:v>Initial Commission</c:v>
                      </c:pt>
                      <c:pt idx="4">
                        <c:v>Renewal Commission</c:v>
                      </c:pt>
                      <c:pt idx="5">
                        <c:v>Profit Loading</c:v>
                      </c:pt>
                    </c:strCache>
                  </c:strRef>
                </c:cat>
                <c:val>
                  <c:numRef>
                    <c:extLst xmlns:c15="http://schemas.microsoft.com/office/drawing/2012/chart">
                      <c:ext xmlns:c15="http://schemas.microsoft.com/office/drawing/2012/chart" uri="{02D57815-91ED-43cb-92C2-25804820EDAC}">
                        <c15:formulaRef>
                          <c15:sqref>Premium_Calculations!$I$86</c15:sqref>
                        </c15:formulaRef>
                      </c:ext>
                    </c:extLst>
                    <c:numCache>
                      <c:formatCode>0.00</c:formatCode>
                      <c:ptCount val="1"/>
                      <c:pt idx="0">
                        <c:v>436.79591799257855</c:v>
                      </c:pt>
                    </c:numCache>
                  </c:numRef>
                </c:val>
                <c:extLst xmlns:c15="http://schemas.microsoft.com/office/drawing/2012/chart">
                  <c:ext xmlns:c16="http://schemas.microsoft.com/office/drawing/2014/chart" uri="{C3380CC4-5D6E-409C-BE32-E72D297353CC}">
                    <c16:uniqueId val="{00000002-E3E6-42EC-B4FC-9F404DDCB776}"/>
                  </c:ext>
                </c:extLst>
              </c15:ser>
            </c15:filteredPieSeries>
            <c15:filteredPieSeries>
              <c15:ser>
                <c:idx val="3"/>
                <c:order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244-4DBD-9251-C2BFF45DE9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Premium_Calculations!$G$3:$L$3</c15:sqref>
                        </c15:formulaRef>
                      </c:ext>
                    </c:extLst>
                    <c:strCache>
                      <c:ptCount val="6"/>
                      <c:pt idx="0">
                        <c:v>NET PREMIUM</c:v>
                      </c:pt>
                      <c:pt idx="1">
                        <c:v>Initial Expenses</c:v>
                      </c:pt>
                      <c:pt idx="2">
                        <c:v>Renewal Expenses</c:v>
                      </c:pt>
                      <c:pt idx="3">
                        <c:v>Initial Commission</c:v>
                      </c:pt>
                      <c:pt idx="4">
                        <c:v>Renewal Commission</c:v>
                      </c:pt>
                      <c:pt idx="5">
                        <c:v>Profit Loading</c:v>
                      </c:pt>
                    </c:strCache>
                  </c:strRef>
                </c:cat>
                <c:val>
                  <c:numRef>
                    <c:extLst xmlns:c15="http://schemas.microsoft.com/office/drawing/2012/chart">
                      <c:ext xmlns:c15="http://schemas.microsoft.com/office/drawing/2012/chart" uri="{02D57815-91ED-43cb-92C2-25804820EDAC}">
                        <c15:formulaRef>
                          <c15:sqref>Premium_Calculations!$J$86</c15:sqref>
                        </c15:formulaRef>
                      </c:ext>
                    </c:extLst>
                    <c:numCache>
                      <c:formatCode>0.00</c:formatCode>
                      <c:ptCount val="1"/>
                      <c:pt idx="0">
                        <c:v>366.94211648053306</c:v>
                      </c:pt>
                    </c:numCache>
                  </c:numRef>
                </c:val>
                <c:extLst xmlns:c15="http://schemas.microsoft.com/office/drawing/2012/chart">
                  <c:ext xmlns:c16="http://schemas.microsoft.com/office/drawing/2014/chart" uri="{C3380CC4-5D6E-409C-BE32-E72D297353CC}">
                    <c16:uniqueId val="{00000003-E3E6-42EC-B4FC-9F404DDCB776}"/>
                  </c:ext>
                </c:extLst>
              </c15:ser>
            </c15:filteredPieSeries>
            <c15:filteredPieSeries>
              <c15:ser>
                <c:idx val="4"/>
                <c:order val="4"/>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244-4DBD-9251-C2BFF45DE9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Premium_Calculations!$G$3:$L$3</c15:sqref>
                        </c15:formulaRef>
                      </c:ext>
                    </c:extLst>
                    <c:strCache>
                      <c:ptCount val="6"/>
                      <c:pt idx="0">
                        <c:v>NET PREMIUM</c:v>
                      </c:pt>
                      <c:pt idx="1">
                        <c:v>Initial Expenses</c:v>
                      </c:pt>
                      <c:pt idx="2">
                        <c:v>Renewal Expenses</c:v>
                      </c:pt>
                      <c:pt idx="3">
                        <c:v>Initial Commission</c:v>
                      </c:pt>
                      <c:pt idx="4">
                        <c:v>Renewal Commission</c:v>
                      </c:pt>
                      <c:pt idx="5">
                        <c:v>Profit Loading</c:v>
                      </c:pt>
                    </c:strCache>
                  </c:strRef>
                </c:cat>
                <c:val>
                  <c:numRef>
                    <c:extLst xmlns:c15="http://schemas.microsoft.com/office/drawing/2012/chart">
                      <c:ext xmlns:c15="http://schemas.microsoft.com/office/drawing/2012/chart" uri="{02D57815-91ED-43cb-92C2-25804820EDAC}">
                        <c15:formulaRef>
                          <c15:sqref>Premium_Calculations!$K$86</c15:sqref>
                        </c15:formulaRef>
                      </c:ext>
                    </c:extLst>
                    <c:numCache>
                      <c:formatCode>0.00</c:formatCode>
                      <c:ptCount val="1"/>
                      <c:pt idx="0">
                        <c:v>363.99659832714883</c:v>
                      </c:pt>
                    </c:numCache>
                  </c:numRef>
                </c:val>
                <c:extLst xmlns:c15="http://schemas.microsoft.com/office/drawing/2012/chart">
                  <c:ext xmlns:c16="http://schemas.microsoft.com/office/drawing/2014/chart" uri="{C3380CC4-5D6E-409C-BE32-E72D297353CC}">
                    <c16:uniqueId val="{00000004-E3E6-42EC-B4FC-9F404DDCB776}"/>
                  </c:ext>
                </c:extLst>
              </c15:ser>
            </c15:filteredPieSeries>
            <c15:filteredPieSeries>
              <c15:ser>
                <c:idx val="5"/>
                <c:order val="5"/>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244-4DBD-9251-C2BFF45DE9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Premium_Calculations!$G$3:$L$3</c15:sqref>
                        </c15:formulaRef>
                      </c:ext>
                    </c:extLst>
                    <c:strCache>
                      <c:ptCount val="6"/>
                      <c:pt idx="0">
                        <c:v>NET PREMIUM</c:v>
                      </c:pt>
                      <c:pt idx="1">
                        <c:v>Initial Expenses</c:v>
                      </c:pt>
                      <c:pt idx="2">
                        <c:v>Renewal Expenses</c:v>
                      </c:pt>
                      <c:pt idx="3">
                        <c:v>Initial Commission</c:v>
                      </c:pt>
                      <c:pt idx="4">
                        <c:v>Renewal Commission</c:v>
                      </c:pt>
                      <c:pt idx="5">
                        <c:v>Profit Loading</c:v>
                      </c:pt>
                    </c:strCache>
                  </c:strRef>
                </c:cat>
                <c:val>
                  <c:numRef>
                    <c:extLst xmlns:c15="http://schemas.microsoft.com/office/drawing/2012/chart">
                      <c:ext xmlns:c15="http://schemas.microsoft.com/office/drawing/2012/chart" uri="{02D57815-91ED-43cb-92C2-25804820EDAC}">
                        <c15:formulaRef>
                          <c15:sqref>Premium_Calculations!$L$86</c15:sqref>
                        </c15:formulaRef>
                      </c:ext>
                    </c:extLst>
                    <c:numCache>
                      <c:formatCode>0.00</c:formatCode>
                      <c:ptCount val="1"/>
                      <c:pt idx="0">
                        <c:v>0</c:v>
                      </c:pt>
                    </c:numCache>
                  </c:numRef>
                </c:val>
                <c:extLst xmlns:c15="http://schemas.microsoft.com/office/drawing/2012/chart">
                  <c:ext xmlns:c16="http://schemas.microsoft.com/office/drawing/2014/chart" uri="{C3380CC4-5D6E-409C-BE32-E72D297353CC}">
                    <c16:uniqueId val="{00000005-E3E6-42EC-B4FC-9F404DDCB776}"/>
                  </c:ext>
                </c:extLst>
              </c15:ser>
            </c15:filteredPieSeries>
          </c:ext>
        </c:extLst>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378884</xdr:colOff>
      <xdr:row>6</xdr:row>
      <xdr:rowOff>146579</xdr:rowOff>
    </xdr:from>
    <xdr:to>
      <xdr:col>11</xdr:col>
      <xdr:colOff>478367</xdr:colOff>
      <xdr:row>19</xdr:row>
      <xdr:rowOff>132291</xdr:rowOff>
    </xdr:to>
    <xdr:graphicFrame macro="">
      <xdr:nvGraphicFramePr>
        <xdr:cNvPr id="2" name="Chart 1">
          <a:extLst>
            <a:ext uri="{FF2B5EF4-FFF2-40B4-BE49-F238E27FC236}">
              <a16:creationId xmlns:a16="http://schemas.microsoft.com/office/drawing/2014/main" id="{AC6AF840-4CD0-585B-45E6-C07B41E63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379942</xdr:colOff>
      <xdr:row>21</xdr:row>
      <xdr:rowOff>33337</xdr:rowOff>
    </xdr:from>
    <xdr:to>
      <xdr:col>11</xdr:col>
      <xdr:colOff>517525</xdr:colOff>
      <xdr:row>34</xdr:row>
      <xdr:rowOff>48683</xdr:rowOff>
    </xdr:to>
    <xdr:graphicFrame macro="">
      <xdr:nvGraphicFramePr>
        <xdr:cNvPr id="3" name="Chart 2">
          <a:extLst>
            <a:ext uri="{FF2B5EF4-FFF2-40B4-BE49-F238E27FC236}">
              <a16:creationId xmlns:a16="http://schemas.microsoft.com/office/drawing/2014/main" id="{4E9720B3-159F-DCE7-BD75-1C60CDEF3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116416</xdr:colOff>
      <xdr:row>6</xdr:row>
      <xdr:rowOff>134938</xdr:rowOff>
    </xdr:from>
    <xdr:to>
      <xdr:col>18</xdr:col>
      <xdr:colOff>370415</xdr:colOff>
      <xdr:row>19</xdr:row>
      <xdr:rowOff>137584</xdr:rowOff>
    </xdr:to>
    <xdr:graphicFrame macro="">
      <xdr:nvGraphicFramePr>
        <xdr:cNvPr id="4" name="Chart 3">
          <a:extLst>
            <a:ext uri="{FF2B5EF4-FFF2-40B4-BE49-F238E27FC236}">
              <a16:creationId xmlns:a16="http://schemas.microsoft.com/office/drawing/2014/main" id="{CDC6FB05-589C-C4D4-FE5D-ABC21E55D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114300</xdr:colOff>
      <xdr:row>21</xdr:row>
      <xdr:rowOff>30161</xdr:rowOff>
    </xdr:from>
    <xdr:to>
      <xdr:col>18</xdr:col>
      <xdr:colOff>539750</xdr:colOff>
      <xdr:row>34</xdr:row>
      <xdr:rowOff>21166</xdr:rowOff>
    </xdr:to>
    <xdr:graphicFrame macro="">
      <xdr:nvGraphicFramePr>
        <xdr:cNvPr id="5" name="Chart 4">
          <a:extLst>
            <a:ext uri="{FF2B5EF4-FFF2-40B4-BE49-F238E27FC236}">
              <a16:creationId xmlns:a16="http://schemas.microsoft.com/office/drawing/2014/main" id="{9D5F639D-0C07-1E62-E8DC-798472317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306915</xdr:colOff>
      <xdr:row>18</xdr:row>
      <xdr:rowOff>158749</xdr:rowOff>
    </xdr:from>
    <xdr:to>
      <xdr:col>5</xdr:col>
      <xdr:colOff>179916</xdr:colOff>
      <xdr:row>34</xdr:row>
      <xdr:rowOff>148166</xdr:rowOff>
    </xdr:to>
    <xdr:graphicFrame macro="">
      <xdr:nvGraphicFramePr>
        <xdr:cNvPr id="6" name="Chart 5">
          <a:extLst>
            <a:ext uri="{FF2B5EF4-FFF2-40B4-BE49-F238E27FC236}">
              <a16:creationId xmlns:a16="http://schemas.microsoft.com/office/drawing/2014/main" id="{90240FBA-F680-FF57-11B9-6D4932061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BCB5E2-D011-409D-A360-C89C3100AD7E}" name="MortalityTable" displayName="MortalityTable" ref="C3:I87" totalsRowCount="1" headerRowDxfId="27">
  <autoFilter ref="C3:I86" xr:uid="{49BCB5E2-D011-409D-A360-C89C3100AD7E}"/>
  <tableColumns count="7">
    <tableColumn id="1" xr3:uid="{85D8293E-8C7D-410C-9480-F856FC1163D1}" name="Age" dataDxfId="26" totalsRowDxfId="25"/>
    <tableColumn id="2" xr3:uid="{251B29C7-0E19-4667-AA7B-1F50D976D9E7}" name="qx" dataDxfId="24" totalsRowDxfId="23"/>
    <tableColumn id="3" xr3:uid="{A0DA4402-D975-470F-B611-AD8311FDFBDA}" name="px" dataDxfId="22" totalsRowDxfId="21">
      <calculatedColumnFormula>1-D4</calculatedColumnFormula>
    </tableColumn>
    <tableColumn id="4" xr3:uid="{8D98DFAD-C216-4E2D-8D30-F85029B342AF}" name="lx" dataDxfId="20" totalsRowDxfId="19">
      <calculatedColumnFormula>F3*E4</calculatedColumnFormula>
    </tableColumn>
    <tableColumn id="5" xr3:uid="{19B8D6E4-10F7-4B84-8F0D-D1997D8BEE4B}" name="dx" dataDxfId="18" totalsRowDxfId="17">
      <calculatedColumnFormula>F4*D4</calculatedColumnFormula>
    </tableColumn>
    <tableColumn id="6" xr3:uid="{BB38B9B3-85AB-4853-B722-F963D7549C8D}" name="Death" dataDxfId="16" totalsRowDxfId="15">
      <calculatedColumnFormula>MortalityTable[[#This Row],[lx]]-F5</calculatedColumnFormula>
    </tableColumn>
    <tableColumn id="7" xr3:uid="{4F53E3F9-DFB0-4DD4-A970-64E63061A660}" name="Aqx" dataDxfId="14" totalsRowDxfId="13">
      <calculatedColumnFormula>MortalityTable[[#This Row],[Death]]/$F$4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983F39-18C7-440F-B530-DF5DDCC41642}" name="Table2" displayName="Table2" ref="B3:J86" totalsRowShown="0" headerRowDxfId="12" dataDxfId="10" headerRowBorderDxfId="11" tableBorderDxfId="9" headerRowCellStyle="Percent" dataCellStyle="Percent">
  <autoFilter ref="B3:J86" xr:uid="{87983F39-18C7-440F-B530-DF5DDCC41642}"/>
  <tableColumns count="9">
    <tableColumn id="1" xr3:uid="{B9FF0FA2-26A0-4EB7-8B52-65E80A87BEE2}" name="POLICY YEAR" dataDxfId="8"/>
    <tableColumn id="2" xr3:uid="{F9CFB4D9-0671-43F6-A960-E0788E7E7CA7}" name="AGE" dataDxfId="7"/>
    <tableColumn id="3" xr3:uid="{FE31C1E0-C2AC-4CDB-B20B-9631CEA1A18D}" name="qx" dataDxfId="6"/>
    <tableColumn id="4" xr3:uid="{CD10E0B1-3688-4F09-ACAA-CED4C69418DD}" name="px" dataDxfId="5"/>
    <tableColumn id="5" xr3:uid="{2DE972BE-E8CA-47ED-918A-698D7BC0C126}" name="Probability of Death" dataDxfId="4"/>
    <tableColumn id="6" xr3:uid="{DEB81614-2D0B-4FA6-BAAB-E267103CD233}" name="Discount Factor" dataDxfId="3"/>
    <tableColumn id="9" xr3:uid="{8874D556-B68D-478A-BF1F-5880E4127B07}" name="Benefits" dataDxfId="2">
      <calculatedColumnFormula>IF(Inputs!$D$9&gt;=Calculations!B4,Inputs!$D$11*Table2[[#This Row],[Probability of Death]],0)</calculatedColumnFormula>
    </tableColumn>
    <tableColumn id="7" xr3:uid="{E9634486-2002-4809-B6E6-F0945C7AA8C1}" name="EPV of Benefits" dataDxfId="1"/>
    <tableColumn id="8" xr3:uid="{44289789-ADBE-4BCC-A2A7-15861CD3136C}" name="Cumulative EPV"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D0ECE-92F6-4AB5-A228-226425B683C7}">
  <dimension ref="B2:O28"/>
  <sheetViews>
    <sheetView showGridLines="0" workbookViewId="0">
      <selection activeCell="R11" sqref="R11"/>
    </sheetView>
  </sheetViews>
  <sheetFormatPr defaultRowHeight="15"/>
  <cols>
    <col min="2" max="2" width="11.140625" customWidth="1"/>
    <col min="3" max="3" width="10.5703125" customWidth="1"/>
    <col min="5" max="5" width="8.42578125" bestFit="1" customWidth="1"/>
    <col min="6" max="6" width="7.140625" bestFit="1" customWidth="1"/>
  </cols>
  <sheetData>
    <row r="2" spans="2:15" ht="15.75" thickBot="1"/>
    <row r="3" spans="2:15" ht="15.75" thickBot="1">
      <c r="B3" s="117" t="s">
        <v>58</v>
      </c>
      <c r="C3" s="118"/>
      <c r="D3" s="118"/>
      <c r="E3" s="118"/>
      <c r="F3" s="118"/>
      <c r="G3" s="118"/>
      <c r="H3" s="118"/>
      <c r="I3" s="118"/>
      <c r="J3" s="118"/>
      <c r="K3" s="118"/>
      <c r="L3" s="118"/>
      <c r="M3" s="118"/>
      <c r="N3" s="118"/>
      <c r="O3" s="119"/>
    </row>
    <row r="4" spans="2:15">
      <c r="B4" s="108" t="s">
        <v>59</v>
      </c>
      <c r="C4" s="109"/>
      <c r="D4" s="109"/>
      <c r="E4" s="109"/>
      <c r="F4" s="109"/>
      <c r="G4" s="109"/>
      <c r="H4" s="109"/>
      <c r="I4" s="109"/>
      <c r="J4" s="109"/>
      <c r="K4" s="109"/>
      <c r="L4" s="109"/>
      <c r="M4" s="109"/>
      <c r="N4" s="109"/>
      <c r="O4" s="110"/>
    </row>
    <row r="5" spans="2:15">
      <c r="B5" s="111"/>
      <c r="C5" s="112"/>
      <c r="D5" s="112"/>
      <c r="E5" s="112"/>
      <c r="F5" s="112"/>
      <c r="G5" s="112"/>
      <c r="H5" s="112"/>
      <c r="I5" s="112"/>
      <c r="J5" s="112"/>
      <c r="K5" s="112"/>
      <c r="L5" s="112"/>
      <c r="M5" s="112"/>
      <c r="N5" s="112"/>
      <c r="O5" s="113"/>
    </row>
    <row r="6" spans="2:15">
      <c r="B6" s="111"/>
      <c r="C6" s="112"/>
      <c r="D6" s="112"/>
      <c r="E6" s="112"/>
      <c r="F6" s="112"/>
      <c r="G6" s="112"/>
      <c r="H6" s="112"/>
      <c r="I6" s="112"/>
      <c r="J6" s="112"/>
      <c r="K6" s="112"/>
      <c r="L6" s="112"/>
      <c r="M6" s="112"/>
      <c r="N6" s="112"/>
      <c r="O6" s="113"/>
    </row>
    <row r="7" spans="2:15">
      <c r="B7" s="111"/>
      <c r="C7" s="112"/>
      <c r="D7" s="112"/>
      <c r="E7" s="112"/>
      <c r="F7" s="112"/>
      <c r="G7" s="112"/>
      <c r="H7" s="112"/>
      <c r="I7" s="112"/>
      <c r="J7" s="112"/>
      <c r="K7" s="112"/>
      <c r="L7" s="112"/>
      <c r="M7" s="112"/>
      <c r="N7" s="112"/>
      <c r="O7" s="113"/>
    </row>
    <row r="8" spans="2:15" ht="15.75" thickBot="1">
      <c r="B8" s="114"/>
      <c r="C8" s="115"/>
      <c r="D8" s="115"/>
      <c r="E8" s="115"/>
      <c r="F8" s="115"/>
      <c r="G8" s="115"/>
      <c r="H8" s="115"/>
      <c r="I8" s="115"/>
      <c r="J8" s="115"/>
      <c r="K8" s="115"/>
      <c r="L8" s="115"/>
      <c r="M8" s="115"/>
      <c r="N8" s="115"/>
      <c r="O8" s="116"/>
    </row>
    <row r="9" spans="2:15" ht="15.75" thickBot="1"/>
    <row r="10" spans="2:15" ht="15.75" thickBot="1">
      <c r="B10" s="117" t="s">
        <v>60</v>
      </c>
      <c r="C10" s="118"/>
      <c r="D10" s="118"/>
      <c r="E10" s="118"/>
      <c r="F10" s="118"/>
      <c r="G10" s="118"/>
      <c r="H10" s="118"/>
      <c r="I10" s="118"/>
      <c r="J10" s="118"/>
      <c r="K10" s="118"/>
      <c r="L10" s="118"/>
      <c r="M10" s="118"/>
      <c r="N10" s="118"/>
      <c r="O10" s="119"/>
    </row>
    <row r="11" spans="2:15" ht="15" customHeight="1">
      <c r="B11" s="120" t="s">
        <v>61</v>
      </c>
      <c r="C11" s="121"/>
      <c r="D11" s="121"/>
      <c r="E11" s="121"/>
      <c r="F11" s="121"/>
      <c r="G11" s="121"/>
      <c r="H11" s="121"/>
      <c r="I11" s="121"/>
      <c r="J11" s="121"/>
      <c r="K11" s="121"/>
      <c r="L11" s="121"/>
      <c r="M11" s="121"/>
      <c r="N11" s="121"/>
      <c r="O11" s="122"/>
    </row>
    <row r="12" spans="2:15">
      <c r="B12" s="123"/>
      <c r="C12" s="124"/>
      <c r="D12" s="124"/>
      <c r="E12" s="124"/>
      <c r="F12" s="124"/>
      <c r="G12" s="124"/>
      <c r="H12" s="124"/>
      <c r="I12" s="124"/>
      <c r="J12" s="124"/>
      <c r="K12" s="124"/>
      <c r="L12" s="124"/>
      <c r="M12" s="124"/>
      <c r="N12" s="124"/>
      <c r="O12" s="125"/>
    </row>
    <row r="13" spans="2:15">
      <c r="B13" s="123"/>
      <c r="C13" s="124"/>
      <c r="D13" s="124"/>
      <c r="E13" s="124"/>
      <c r="F13" s="124"/>
      <c r="G13" s="124"/>
      <c r="H13" s="124"/>
      <c r="I13" s="124"/>
      <c r="J13" s="124"/>
      <c r="K13" s="124"/>
      <c r="L13" s="124"/>
      <c r="M13" s="124"/>
      <c r="N13" s="124"/>
      <c r="O13" s="125"/>
    </row>
    <row r="14" spans="2:15">
      <c r="B14" s="123"/>
      <c r="C14" s="124"/>
      <c r="D14" s="124"/>
      <c r="E14" s="124"/>
      <c r="F14" s="124"/>
      <c r="G14" s="124"/>
      <c r="H14" s="124"/>
      <c r="I14" s="124"/>
      <c r="J14" s="124"/>
      <c r="K14" s="124"/>
      <c r="L14" s="124"/>
      <c r="M14" s="124"/>
      <c r="N14" s="124"/>
      <c r="O14" s="125"/>
    </row>
    <row r="15" spans="2:15">
      <c r="B15" s="123"/>
      <c r="C15" s="124"/>
      <c r="D15" s="124"/>
      <c r="E15" s="124"/>
      <c r="F15" s="124"/>
      <c r="G15" s="124"/>
      <c r="H15" s="124"/>
      <c r="I15" s="124"/>
      <c r="J15" s="124"/>
      <c r="K15" s="124"/>
      <c r="L15" s="124"/>
      <c r="M15" s="124"/>
      <c r="N15" s="124"/>
      <c r="O15" s="125"/>
    </row>
    <row r="16" spans="2:15">
      <c r="B16" s="123"/>
      <c r="C16" s="124"/>
      <c r="D16" s="124"/>
      <c r="E16" s="124"/>
      <c r="F16" s="124"/>
      <c r="G16" s="124"/>
      <c r="H16" s="124"/>
      <c r="I16" s="124"/>
      <c r="J16" s="124"/>
      <c r="K16" s="124"/>
      <c r="L16" s="124"/>
      <c r="M16" s="124"/>
      <c r="N16" s="124"/>
      <c r="O16" s="125"/>
    </row>
    <row r="17" spans="2:15" ht="15.75" thickBot="1">
      <c r="B17" s="126"/>
      <c r="C17" s="127"/>
      <c r="D17" s="127"/>
      <c r="E17" s="127"/>
      <c r="F17" s="127"/>
      <c r="G17" s="127"/>
      <c r="H17" s="127"/>
      <c r="I17" s="127"/>
      <c r="J17" s="127"/>
      <c r="K17" s="127"/>
      <c r="L17" s="127"/>
      <c r="M17" s="127"/>
      <c r="N17" s="127"/>
      <c r="O17" s="128"/>
    </row>
    <row r="18" spans="2:15" ht="15.75" thickBot="1">
      <c r="B18" s="68"/>
      <c r="C18" s="68"/>
      <c r="D18" s="68"/>
      <c r="E18" s="68"/>
      <c r="F18" s="68"/>
      <c r="G18" s="68"/>
      <c r="H18" s="68"/>
      <c r="I18" s="68"/>
      <c r="J18" s="68"/>
      <c r="K18" s="68"/>
      <c r="L18" s="68"/>
      <c r="M18" s="68"/>
      <c r="N18" s="68"/>
      <c r="O18" s="68"/>
    </row>
    <row r="19" spans="2:15" ht="15.75" thickBot="1">
      <c r="B19" s="134" t="s">
        <v>62</v>
      </c>
      <c r="C19" s="135"/>
      <c r="D19" s="136"/>
      <c r="E19" s="136"/>
      <c r="F19" s="136"/>
      <c r="G19" s="136"/>
      <c r="H19" s="136"/>
      <c r="I19" s="136"/>
      <c r="J19" s="137"/>
      <c r="K19" s="68"/>
      <c r="L19" s="68"/>
      <c r="M19" s="68"/>
      <c r="N19" s="68"/>
      <c r="O19" s="68"/>
    </row>
    <row r="20" spans="2:15" ht="15.75" thickBot="1">
      <c r="B20" s="138" t="s">
        <v>63</v>
      </c>
      <c r="C20" s="139"/>
      <c r="D20" s="131" t="s">
        <v>64</v>
      </c>
      <c r="E20" s="132"/>
      <c r="F20" s="132"/>
      <c r="G20" s="132"/>
      <c r="H20" s="132"/>
      <c r="I20" s="132"/>
      <c r="J20" s="133"/>
      <c r="K20" s="68"/>
      <c r="L20" s="68"/>
      <c r="M20" s="68"/>
      <c r="N20" s="68"/>
      <c r="O20" s="68"/>
    </row>
    <row r="21" spans="2:15">
      <c r="B21" s="140" t="s">
        <v>65</v>
      </c>
      <c r="C21" s="141"/>
      <c r="D21" s="99" t="s">
        <v>66</v>
      </c>
      <c r="E21" s="100"/>
      <c r="F21" s="100"/>
      <c r="G21" s="100"/>
      <c r="H21" s="100"/>
      <c r="I21" s="100"/>
      <c r="J21" s="101"/>
    </row>
    <row r="22" spans="2:15">
      <c r="B22" s="97" t="s">
        <v>80</v>
      </c>
      <c r="C22" s="98"/>
      <c r="D22" s="102" t="s">
        <v>67</v>
      </c>
      <c r="E22" s="103"/>
      <c r="F22" s="103"/>
      <c r="G22" s="103"/>
      <c r="H22" s="103"/>
      <c r="I22" s="103"/>
      <c r="J22" s="104"/>
    </row>
    <row r="23" spans="2:15">
      <c r="B23" s="97" t="s">
        <v>68</v>
      </c>
      <c r="C23" s="98"/>
      <c r="D23" s="102" t="s">
        <v>69</v>
      </c>
      <c r="E23" s="103"/>
      <c r="F23" s="103"/>
      <c r="G23" s="103"/>
      <c r="H23" s="103"/>
      <c r="I23" s="103"/>
      <c r="J23" s="104"/>
    </row>
    <row r="24" spans="2:15">
      <c r="B24" s="97" t="s">
        <v>79</v>
      </c>
      <c r="C24" s="98"/>
      <c r="D24" s="102" t="s">
        <v>70</v>
      </c>
      <c r="E24" s="103"/>
      <c r="F24" s="103"/>
      <c r="G24" s="103"/>
      <c r="H24" s="103"/>
      <c r="I24" s="103"/>
      <c r="J24" s="104"/>
    </row>
    <row r="25" spans="2:15">
      <c r="B25" s="97" t="s">
        <v>71</v>
      </c>
      <c r="C25" s="98"/>
      <c r="D25" s="102" t="s">
        <v>72</v>
      </c>
      <c r="E25" s="103"/>
      <c r="F25" s="103"/>
      <c r="G25" s="103"/>
      <c r="H25" s="103"/>
      <c r="I25" s="103"/>
      <c r="J25" s="104"/>
    </row>
    <row r="26" spans="2:15">
      <c r="B26" s="97" t="s">
        <v>73</v>
      </c>
      <c r="C26" s="98"/>
      <c r="D26" s="102" t="s">
        <v>74</v>
      </c>
      <c r="E26" s="103"/>
      <c r="F26" s="103"/>
      <c r="G26" s="103"/>
      <c r="H26" s="103"/>
      <c r="I26" s="103"/>
      <c r="J26" s="104"/>
    </row>
    <row r="27" spans="2:15">
      <c r="B27" s="97" t="s">
        <v>75</v>
      </c>
      <c r="C27" s="98"/>
      <c r="D27" s="102" t="s">
        <v>76</v>
      </c>
      <c r="E27" s="103"/>
      <c r="F27" s="103"/>
      <c r="G27" s="103"/>
      <c r="H27" s="103"/>
      <c r="I27" s="103"/>
      <c r="J27" s="104"/>
    </row>
    <row r="28" spans="2:15" ht="15.75" thickBot="1">
      <c r="B28" s="129" t="s">
        <v>77</v>
      </c>
      <c r="C28" s="130"/>
      <c r="D28" s="105" t="s">
        <v>78</v>
      </c>
      <c r="E28" s="106"/>
      <c r="F28" s="106"/>
      <c r="G28" s="106"/>
      <c r="H28" s="106"/>
      <c r="I28" s="106"/>
      <c r="J28" s="107"/>
    </row>
  </sheetData>
  <mergeCells count="23">
    <mergeCell ref="D26:J26"/>
    <mergeCell ref="D28:J28"/>
    <mergeCell ref="D27:J27"/>
    <mergeCell ref="B4:O8"/>
    <mergeCell ref="B3:O3"/>
    <mergeCell ref="B10:O10"/>
    <mergeCell ref="B11:O17"/>
    <mergeCell ref="B26:C26"/>
    <mergeCell ref="B27:C27"/>
    <mergeCell ref="B28:C28"/>
    <mergeCell ref="D20:J20"/>
    <mergeCell ref="B19:J19"/>
    <mergeCell ref="B20:C20"/>
    <mergeCell ref="B21:C21"/>
    <mergeCell ref="B22:C22"/>
    <mergeCell ref="B23:C23"/>
    <mergeCell ref="B24:C24"/>
    <mergeCell ref="B25:C25"/>
    <mergeCell ref="D21:J21"/>
    <mergeCell ref="D22:J22"/>
    <mergeCell ref="D23:J23"/>
    <mergeCell ref="D24:J24"/>
    <mergeCell ref="D25:J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8098-12DF-4B6E-9FB9-E06F155E202B}">
  <dimension ref="C1:J1048576"/>
  <sheetViews>
    <sheetView showGridLines="0" zoomScale="90" zoomScaleNormal="90" workbookViewId="0">
      <selection activeCell="K14" sqref="K14"/>
    </sheetView>
  </sheetViews>
  <sheetFormatPr defaultRowHeight="15" customHeight="1"/>
  <cols>
    <col min="1" max="2" width="9.140625" style="1"/>
    <col min="3" max="3" width="20.28515625" style="1" customWidth="1"/>
    <col min="4" max="4" width="14.28515625" style="1" bestFit="1" customWidth="1"/>
    <col min="5" max="5" width="15.42578125" style="1" bestFit="1" customWidth="1"/>
    <col min="6" max="6" width="4.42578125" style="1" bestFit="1" customWidth="1"/>
    <col min="7" max="7" width="7.7109375" style="1" bestFit="1" customWidth="1"/>
    <col min="8" max="8" width="18.28515625" style="1" bestFit="1" customWidth="1"/>
    <col min="9" max="9" width="13.28515625" style="1" bestFit="1" customWidth="1"/>
    <col min="10" max="10" width="14.28515625" style="1" bestFit="1" customWidth="1"/>
    <col min="11" max="11" width="19.140625" style="1" bestFit="1" customWidth="1"/>
    <col min="12" max="12" width="12.5703125" style="1" bestFit="1" customWidth="1"/>
    <col min="13" max="13" width="12.140625" style="1" bestFit="1" customWidth="1"/>
    <col min="14" max="16" width="9.140625" style="1"/>
    <col min="17" max="17" width="13.28515625" style="1" bestFit="1" customWidth="1"/>
    <col min="18" max="18" width="14.28515625" style="1" bestFit="1" customWidth="1"/>
    <col min="19" max="16384" width="9.140625" style="1"/>
  </cols>
  <sheetData>
    <row r="1" spans="3:10"/>
    <row r="2" spans="3:10"/>
    <row r="3" spans="3:10" ht="15.75" thickBot="1"/>
    <row r="4" spans="3:10" ht="15.75" thickBot="1">
      <c r="C4" s="70" t="s">
        <v>0</v>
      </c>
      <c r="D4" s="71" t="s">
        <v>57</v>
      </c>
      <c r="I4" s="78"/>
      <c r="J4" s="78"/>
    </row>
    <row r="5" spans="3:10">
      <c r="C5" s="72" t="s">
        <v>1</v>
      </c>
      <c r="D5" s="73" t="s">
        <v>2</v>
      </c>
      <c r="I5" s="79"/>
      <c r="J5" s="79"/>
    </row>
    <row r="6" spans="3:10">
      <c r="C6" s="72" t="s">
        <v>3</v>
      </c>
      <c r="D6" s="73" t="s">
        <v>4</v>
      </c>
      <c r="I6" s="79"/>
      <c r="J6" s="79"/>
    </row>
    <row r="7" spans="3:10">
      <c r="C7" s="72" t="s">
        <v>5</v>
      </c>
      <c r="D7" s="73">
        <v>40</v>
      </c>
      <c r="I7" s="79"/>
      <c r="J7" s="80"/>
    </row>
    <row r="8" spans="3:10">
      <c r="C8" s="72" t="s">
        <v>6</v>
      </c>
      <c r="D8" s="73" t="s">
        <v>7</v>
      </c>
      <c r="I8" s="79"/>
      <c r="J8" s="79"/>
    </row>
    <row r="9" spans="3:10">
      <c r="C9" s="72" t="s">
        <v>8</v>
      </c>
      <c r="D9" s="73">
        <v>30</v>
      </c>
    </row>
    <row r="10" spans="3:10" ht="15" customHeight="1">
      <c r="C10" s="72" t="s">
        <v>48</v>
      </c>
      <c r="D10" s="73">
        <v>20</v>
      </c>
    </row>
    <row r="11" spans="3:10">
      <c r="C11" s="72" t="s">
        <v>36</v>
      </c>
      <c r="D11" s="74">
        <v>100000</v>
      </c>
    </row>
    <row r="12" spans="3:10">
      <c r="C12" s="72" t="s">
        <v>9</v>
      </c>
      <c r="D12" s="75">
        <v>0.05</v>
      </c>
    </row>
    <row r="13" spans="3:10">
      <c r="C13" s="72" t="s">
        <v>93</v>
      </c>
      <c r="D13" s="75">
        <v>0.3</v>
      </c>
    </row>
    <row r="14" spans="3:10">
      <c r="C14" s="72" t="s">
        <v>94</v>
      </c>
      <c r="D14" s="75">
        <v>0.06</v>
      </c>
    </row>
    <row r="15" spans="3:10">
      <c r="C15" s="72" t="s">
        <v>98</v>
      </c>
      <c r="D15" s="75">
        <v>0.6</v>
      </c>
    </row>
    <row r="16" spans="3:10">
      <c r="C16" s="72" t="s">
        <v>99</v>
      </c>
      <c r="D16" s="75">
        <v>0.05</v>
      </c>
    </row>
    <row r="17" spans="3:4">
      <c r="C17" s="72" t="s">
        <v>40</v>
      </c>
      <c r="D17" s="75">
        <v>0</v>
      </c>
    </row>
    <row r="18" spans="3:4">
      <c r="C18" s="72" t="s">
        <v>10</v>
      </c>
      <c r="D18" s="73" t="s">
        <v>11</v>
      </c>
    </row>
    <row r="19" spans="3:4">
      <c r="C19" s="72" t="s">
        <v>12</v>
      </c>
      <c r="D19" s="73" t="s">
        <v>46</v>
      </c>
    </row>
    <row r="20" spans="3:4" ht="15.75" thickBot="1">
      <c r="C20" s="76" t="s">
        <v>13</v>
      </c>
      <c r="D20" s="77">
        <f ca="1">TODAY()</f>
        <v>46234</v>
      </c>
    </row>
    <row r="21" spans="3:4"/>
    <row r="22" spans="3:4"/>
    <row r="23" spans="3:4"/>
    <row r="24" spans="3:4"/>
    <row r="25" spans="3:4"/>
    <row r="26" spans="3:4"/>
    <row r="27" spans="3:4"/>
    <row r="28" spans="3:4"/>
    <row r="29" spans="3:4"/>
    <row r="30" spans="3:4"/>
    <row r="31" spans="3:4"/>
    <row r="32" spans="3:4"/>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dataValidations count="9">
    <dataValidation type="list" allowBlank="1" showInputMessage="1" showErrorMessage="1" sqref="D8" xr:uid="{259C0A73-3A08-4418-94FA-2F890B810874}">
      <formula1>"Male,Female"</formula1>
    </dataValidation>
    <dataValidation type="whole" allowBlank="1" showInputMessage="1" showErrorMessage="1" sqref="D11" xr:uid="{44E611AD-04C9-4D00-AD0D-71C4693C1F01}">
      <formula1>0</formula1>
      <formula2>10000000</formula2>
    </dataValidation>
    <dataValidation type="list" allowBlank="1" showInputMessage="1" showErrorMessage="1" sqref="D18" xr:uid="{8229AC2B-B297-4FDA-A540-CC30341B16DD}">
      <formula1>"Annual"</formula1>
    </dataValidation>
    <dataValidation type="list" allowBlank="1" showInputMessage="1" showErrorMessage="1" sqref="D19" xr:uid="{C8C3019C-B8A5-41AE-80F6-282C56845151}">
      <formula1>"Term"</formula1>
    </dataValidation>
    <dataValidation type="custom" allowBlank="1" showInputMessage="1" showErrorMessage="1" sqref="D7" xr:uid="{8849521C-4D66-4463-8B11-5B3E816C4401}">
      <formula1>AND(D7&gt;=18,D7&lt;=80,D7+D9&lt;=100)</formula1>
    </dataValidation>
    <dataValidation type="custom" allowBlank="1" showInputMessage="1" showErrorMessage="1" sqref="D9" xr:uid="{92219BDB-0392-47FD-9BE3-18F86BEBA5D7}">
      <formula1>AND(D9&gt;=5,D9&lt;=50,D7+D9&lt;=100,D9&gt;=D10)</formula1>
    </dataValidation>
    <dataValidation type="custom" operator="lessThanOrEqual" allowBlank="1" showInputMessage="1" showErrorMessage="1" sqref="D10" xr:uid="{8A09E64D-C029-44FB-9B75-6A4904727F24}">
      <formula1>AND(D10&gt;=1,D10&lt;=D9)</formula1>
    </dataValidation>
    <dataValidation type="decimal" allowBlank="1" showInputMessage="1" showErrorMessage="1" sqref="D16 D17 D14 D12" xr:uid="{07F2654A-AAA3-4F98-AE24-7A7A26436A8E}">
      <formula1>0</formula1>
      <formula2>0.2</formula2>
    </dataValidation>
    <dataValidation type="decimal" allowBlank="1" showInputMessage="1" showErrorMessage="1" sqref="D15 D13" xr:uid="{FA929763-3F2C-4EC6-BFFF-B631F6AEEDB7}">
      <formula1>0</formula1>
      <formula2>0.6</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6DB5-015F-4051-B6F3-4148FA2406EA}">
  <dimension ref="C1:I87"/>
  <sheetViews>
    <sheetView showGridLines="0" workbookViewId="0">
      <selection activeCell="L7" sqref="L7"/>
    </sheetView>
  </sheetViews>
  <sheetFormatPr defaultRowHeight="15"/>
  <cols>
    <col min="1" max="2" width="9.140625" style="2"/>
    <col min="3" max="3" width="9" style="4" bestFit="1" customWidth="1"/>
    <col min="4" max="5" width="7.7109375" style="3" bestFit="1" customWidth="1"/>
    <col min="6" max="6" width="10.5703125" style="3" bestFit="1" customWidth="1"/>
    <col min="7" max="7" width="8.5703125" style="2" bestFit="1" customWidth="1"/>
    <col min="8" max="8" width="10.85546875" style="2" bestFit="1" customWidth="1"/>
    <col min="9" max="9" width="9" style="2" bestFit="1" customWidth="1"/>
    <col min="10" max="16384" width="9.140625" style="2"/>
  </cols>
  <sheetData>
    <row r="1" spans="3:9">
      <c r="C1" s="2"/>
    </row>
    <row r="2" spans="3:9" ht="18.75">
      <c r="C2" s="142" t="s">
        <v>92</v>
      </c>
      <c r="D2" s="142"/>
      <c r="E2" s="142"/>
      <c r="F2" s="142"/>
      <c r="G2" s="142"/>
      <c r="H2" s="142"/>
      <c r="I2" s="142"/>
    </row>
    <row r="3" spans="3:9">
      <c r="C3" s="4" t="s">
        <v>5</v>
      </c>
      <c r="D3" s="4" t="s">
        <v>15</v>
      </c>
      <c r="E3" s="4" t="s">
        <v>16</v>
      </c>
      <c r="F3" s="4" t="s">
        <v>17</v>
      </c>
      <c r="G3" s="4" t="s">
        <v>18</v>
      </c>
      <c r="H3" s="4" t="s">
        <v>44</v>
      </c>
      <c r="I3" s="4" t="s">
        <v>45</v>
      </c>
    </row>
    <row r="4" spans="3:9">
      <c r="C4" s="4">
        <v>18</v>
      </c>
      <c r="D4" s="16">
        <v>5.9400000000000002E-4</v>
      </c>
      <c r="E4" s="16">
        <f>1-D4</f>
        <v>0.99940600000000002</v>
      </c>
      <c r="F4" s="16">
        <f>1000</f>
        <v>1000</v>
      </c>
      <c r="G4" s="16">
        <f>F4*D4</f>
        <v>0.59399999999999997</v>
      </c>
      <c r="H4" s="16">
        <f>MortalityTable[[#This Row],[lx]]-F5</f>
        <v>0.58699999999998909</v>
      </c>
      <c r="I4" s="16">
        <f>MortalityTable[[#This Row],[Death]]/$F$4</f>
        <v>5.8699999999998911E-4</v>
      </c>
    </row>
    <row r="5" spans="3:9">
      <c r="C5" s="4">
        <v>19</v>
      </c>
      <c r="D5" s="16">
        <v>5.8699999999999996E-4</v>
      </c>
      <c r="E5" s="16">
        <f t="shared" ref="E5:E68" si="0">1-D5</f>
        <v>0.999413</v>
      </c>
      <c r="F5" s="16">
        <f>F4*E5</f>
        <v>999.41300000000001</v>
      </c>
      <c r="G5" s="16">
        <f t="shared" ref="G5:G68" si="1">F5*D5</f>
        <v>0.58665543099999995</v>
      </c>
      <c r="H5" s="16">
        <f>MortalityTable[[#This Row],[lx]]-F6</f>
        <v>0.58165836599994236</v>
      </c>
      <c r="I5" s="16">
        <f>MortalityTable[[#This Row],[Death]]/$F$4</f>
        <v>5.8165836599994236E-4</v>
      </c>
    </row>
    <row r="6" spans="3:9">
      <c r="C6" s="4">
        <v>20</v>
      </c>
      <c r="D6" s="16">
        <v>5.8200000000000005E-4</v>
      </c>
      <c r="E6" s="16">
        <f t="shared" si="0"/>
        <v>0.99941800000000003</v>
      </c>
      <c r="F6" s="16">
        <f t="shared" ref="F6:F69" si="2">F5*E6</f>
        <v>998.83134163400007</v>
      </c>
      <c r="G6" s="16">
        <f t="shared" si="1"/>
        <v>0.58131984083098809</v>
      </c>
      <c r="H6" s="16">
        <f>MortalityTable[[#This Row],[lx]]-F7</f>
        <v>0.57632568412282126</v>
      </c>
      <c r="I6" s="16">
        <f>MortalityTable[[#This Row],[Death]]/$F$4</f>
        <v>5.7632568412282125E-4</v>
      </c>
    </row>
    <row r="7" spans="3:9">
      <c r="C7" s="4">
        <v>21</v>
      </c>
      <c r="D7" s="16">
        <v>5.7700000000000004E-4</v>
      </c>
      <c r="E7" s="16">
        <f t="shared" si="0"/>
        <v>0.99942299999999995</v>
      </c>
      <c r="F7" s="16">
        <f t="shared" si="2"/>
        <v>998.25501594987725</v>
      </c>
      <c r="G7" s="16">
        <f t="shared" si="1"/>
        <v>0.57599314420307923</v>
      </c>
      <c r="H7" s="16">
        <f>MortalityTable[[#This Row],[lx]]-F8</f>
        <v>0.57100186912339268</v>
      </c>
      <c r="I7" s="16">
        <f>MortalityTable[[#This Row],[Death]]/$F$4</f>
        <v>5.7100186912339263E-4</v>
      </c>
    </row>
    <row r="8" spans="3:9">
      <c r="C8" s="4">
        <v>22</v>
      </c>
      <c r="D8" s="16">
        <v>5.7200000000000003E-4</v>
      </c>
      <c r="E8" s="16">
        <f t="shared" si="0"/>
        <v>0.99942799999999998</v>
      </c>
      <c r="F8" s="16">
        <f t="shared" si="2"/>
        <v>997.68401408075385</v>
      </c>
      <c r="G8" s="16">
        <f t="shared" si="1"/>
        <v>0.57067525605419123</v>
      </c>
      <c r="H8" s="16">
        <f>MortalityTable[[#This Row],[lx]]-F9</f>
        <v>0.56768220401204417</v>
      </c>
      <c r="I8" s="16">
        <f>MortalityTable[[#This Row],[Death]]/$F$4</f>
        <v>5.6768220401204415E-4</v>
      </c>
    </row>
    <row r="9" spans="3:9">
      <c r="C9" s="4">
        <v>23</v>
      </c>
      <c r="D9" s="16">
        <v>5.6899999999999995E-4</v>
      </c>
      <c r="E9" s="16">
        <f t="shared" si="0"/>
        <v>0.99943099999999996</v>
      </c>
      <c r="F9" s="16">
        <f t="shared" si="2"/>
        <v>997.11633187674181</v>
      </c>
      <c r="G9" s="16">
        <f t="shared" si="1"/>
        <v>0.56735919283786607</v>
      </c>
      <c r="H9" s="16">
        <f>MortalityTable[[#This Row],[lx]]-F10</f>
        <v>0.56536496017406535</v>
      </c>
      <c r="I9" s="16">
        <f>MortalityTable[[#This Row],[Death]]/$F$4</f>
        <v>5.6536496017406531E-4</v>
      </c>
    </row>
    <row r="10" spans="3:9">
      <c r="C10" s="4">
        <v>24</v>
      </c>
      <c r="D10" s="16">
        <v>5.6700000000000001E-4</v>
      </c>
      <c r="E10" s="16">
        <f t="shared" si="0"/>
        <v>0.99943300000000002</v>
      </c>
      <c r="F10" s="16">
        <f t="shared" si="2"/>
        <v>996.55096691656775</v>
      </c>
      <c r="G10" s="16">
        <f t="shared" si="1"/>
        <v>0.56504439824169395</v>
      </c>
      <c r="H10" s="16">
        <f>MortalityTable[[#This Row],[lx]]-F11</f>
        <v>0.56404784727476454</v>
      </c>
      <c r="I10" s="16">
        <f>MortalityTable[[#This Row],[Death]]/$F$4</f>
        <v>5.6404784727476448E-4</v>
      </c>
    </row>
    <row r="11" spans="3:9">
      <c r="C11" s="4">
        <v>25</v>
      </c>
      <c r="D11" s="16">
        <v>5.6599999999999999E-4</v>
      </c>
      <c r="E11" s="16">
        <f t="shared" si="0"/>
        <v>0.99943400000000004</v>
      </c>
      <c r="F11" s="16">
        <f t="shared" si="2"/>
        <v>995.98691906929298</v>
      </c>
      <c r="G11" s="16">
        <f t="shared" si="1"/>
        <v>0.5637285961932198</v>
      </c>
      <c r="H11" s="16">
        <f>MortalityTable[[#This Row],[lx]]-F12</f>
        <v>0.56472458311225182</v>
      </c>
      <c r="I11" s="16">
        <f>MortalityTable[[#This Row],[Death]]/$F$4</f>
        <v>5.647245831122518E-4</v>
      </c>
    </row>
    <row r="12" spans="3:9">
      <c r="C12" s="4">
        <v>26</v>
      </c>
      <c r="D12" s="16">
        <v>5.6700000000000001E-4</v>
      </c>
      <c r="E12" s="16">
        <f t="shared" si="0"/>
        <v>0.99943300000000002</v>
      </c>
      <c r="F12" s="16">
        <f t="shared" si="2"/>
        <v>995.42219448618073</v>
      </c>
      <c r="G12" s="16">
        <f t="shared" si="1"/>
        <v>0.56440438427366446</v>
      </c>
      <c r="H12" s="16">
        <f>MortalityTable[[#This Row],[lx]]-F13</f>
        <v>0.56739065085707807</v>
      </c>
      <c r="I12" s="16">
        <f>MortalityTable[[#This Row],[Death]]/$F$4</f>
        <v>5.6739065085707806E-4</v>
      </c>
    </row>
    <row r="13" spans="3:9">
      <c r="C13" s="4">
        <v>27</v>
      </c>
      <c r="D13" s="16">
        <v>5.6999999999999998E-4</v>
      </c>
      <c r="E13" s="16">
        <f t="shared" si="0"/>
        <v>0.99943000000000004</v>
      </c>
      <c r="F13" s="16">
        <f t="shared" si="2"/>
        <v>994.85480383532365</v>
      </c>
      <c r="G13" s="16">
        <f t="shared" si="1"/>
        <v>0.56706723818613447</v>
      </c>
      <c r="H13" s="16">
        <f>MortalityTable[[#This Row],[lx]]-F14</f>
        <v>0.57104665740143901</v>
      </c>
      <c r="I13" s="16">
        <f>MortalityTable[[#This Row],[Death]]/$F$4</f>
        <v>5.7104665740143903E-4</v>
      </c>
    </row>
    <row r="14" spans="3:9">
      <c r="C14" s="4">
        <v>28</v>
      </c>
      <c r="D14" s="16">
        <v>5.7399999999999997E-4</v>
      </c>
      <c r="E14" s="16">
        <f t="shared" si="0"/>
        <v>0.99942600000000004</v>
      </c>
      <c r="F14" s="16">
        <f t="shared" si="2"/>
        <v>994.28375717792221</v>
      </c>
      <c r="G14" s="16">
        <f t="shared" si="1"/>
        <v>0.57071887662012732</v>
      </c>
      <c r="H14" s="16">
        <f>MortalityTable[[#This Row],[lx]]-F15</f>
        <v>0.57668457916327043</v>
      </c>
      <c r="I14" s="16">
        <f>MortalityTable[[#This Row],[Death]]/$F$4</f>
        <v>5.7668457916327045E-4</v>
      </c>
    </row>
    <row r="15" spans="3:9">
      <c r="C15" s="4">
        <v>29</v>
      </c>
      <c r="D15" s="16">
        <v>5.8E-4</v>
      </c>
      <c r="E15" s="16">
        <f t="shared" si="0"/>
        <v>0.99941999999999998</v>
      </c>
      <c r="F15" s="16">
        <f t="shared" si="2"/>
        <v>993.70707259875894</v>
      </c>
      <c r="G15" s="16">
        <f t="shared" si="1"/>
        <v>0.57635010210728022</v>
      </c>
      <c r="H15" s="16">
        <f>MortalityTable[[#This Row],[lx]]-F16</f>
        <v>0.58628717283329479</v>
      </c>
      <c r="I15" s="16">
        <f>MortalityTable[[#This Row],[Death]]/$F$4</f>
        <v>5.8628717283329477E-4</v>
      </c>
    </row>
    <row r="16" spans="3:9">
      <c r="C16" s="4">
        <v>30</v>
      </c>
      <c r="D16" s="16">
        <v>5.9000000000000003E-4</v>
      </c>
      <c r="E16" s="16">
        <f t="shared" si="0"/>
        <v>0.99941000000000002</v>
      </c>
      <c r="F16" s="16">
        <f t="shared" si="2"/>
        <v>993.12078542592565</v>
      </c>
      <c r="G16" s="16">
        <f t="shared" si="1"/>
        <v>0.58594126340129615</v>
      </c>
      <c r="H16" s="16">
        <f>MortalityTable[[#This Row],[lx]]-F17</f>
        <v>0.59785871282645076</v>
      </c>
      <c r="I16" s="16">
        <f>MortalityTable[[#This Row],[Death]]/$F$4</f>
        <v>5.978587128264508E-4</v>
      </c>
    </row>
    <row r="17" spans="3:9">
      <c r="C17" s="4">
        <v>31</v>
      </c>
      <c r="D17" s="16">
        <v>6.02E-4</v>
      </c>
      <c r="E17" s="16">
        <f t="shared" si="0"/>
        <v>0.99939800000000001</v>
      </c>
      <c r="F17" s="16">
        <f t="shared" si="2"/>
        <v>992.5229267130992</v>
      </c>
      <c r="G17" s="16">
        <f t="shared" si="1"/>
        <v>0.59749880188128568</v>
      </c>
      <c r="H17" s="16">
        <f>MortalityTable[[#This Row],[lx]]-F18</f>
        <v>0.61238664578195312</v>
      </c>
      <c r="I17" s="16">
        <f>MortalityTable[[#This Row],[Death]]/$F$4</f>
        <v>6.1238664578195311E-4</v>
      </c>
    </row>
    <row r="18" spans="3:9">
      <c r="C18" s="4">
        <v>32</v>
      </c>
      <c r="D18" s="16">
        <v>6.1700000000000004E-4</v>
      </c>
      <c r="E18" s="16">
        <f t="shared" si="0"/>
        <v>0.99938300000000002</v>
      </c>
      <c r="F18" s="16">
        <f t="shared" si="2"/>
        <v>991.91054006731724</v>
      </c>
      <c r="G18" s="16">
        <f t="shared" si="1"/>
        <v>0.61200880322153473</v>
      </c>
      <c r="H18" s="16">
        <f>MortalityTable[[#This Row],[lx]]-F19</f>
        <v>0.63085510348275875</v>
      </c>
      <c r="I18" s="16">
        <f>MortalityTable[[#This Row],[Death]]/$F$4</f>
        <v>6.3085510348275876E-4</v>
      </c>
    </row>
    <row r="19" spans="3:9">
      <c r="C19" s="4">
        <v>33</v>
      </c>
      <c r="D19" s="16">
        <v>6.3599999999999996E-4</v>
      </c>
      <c r="E19" s="16">
        <f t="shared" si="0"/>
        <v>0.99936400000000003</v>
      </c>
      <c r="F19" s="16">
        <f t="shared" si="2"/>
        <v>991.27968496383448</v>
      </c>
      <c r="G19" s="16">
        <f t="shared" si="1"/>
        <v>0.63045387963699873</v>
      </c>
      <c r="H19" s="16">
        <f>MortalityTable[[#This Row],[lx]]-F20</f>
        <v>0.65424459207611108</v>
      </c>
      <c r="I19" s="16">
        <f>MortalityTable[[#This Row],[Death]]/$F$4</f>
        <v>6.5424459207611113E-4</v>
      </c>
    </row>
    <row r="20" spans="3:9">
      <c r="C20" s="4">
        <v>34</v>
      </c>
      <c r="D20" s="16">
        <v>6.6E-4</v>
      </c>
      <c r="E20" s="16">
        <f t="shared" si="0"/>
        <v>0.99934000000000001</v>
      </c>
      <c r="F20" s="16">
        <f t="shared" si="2"/>
        <v>990.62544037175837</v>
      </c>
      <c r="G20" s="16">
        <f t="shared" si="1"/>
        <v>0.65381279064536058</v>
      </c>
      <c r="H20" s="16">
        <f>MortalityTable[[#This Row],[lx]]-F21</f>
        <v>0.68254092841618785</v>
      </c>
      <c r="I20" s="16">
        <f>MortalityTable[[#This Row],[Death]]/$F$4</f>
        <v>6.8254092841618782E-4</v>
      </c>
    </row>
    <row r="21" spans="3:9">
      <c r="C21" s="4">
        <v>35</v>
      </c>
      <c r="D21" s="16">
        <v>6.8900000000000005E-4</v>
      </c>
      <c r="E21" s="16">
        <f t="shared" si="0"/>
        <v>0.99931099999999995</v>
      </c>
      <c r="F21" s="16">
        <f t="shared" si="2"/>
        <v>989.94289944334218</v>
      </c>
      <c r="G21" s="16">
        <f t="shared" si="1"/>
        <v>0.6820706577164628</v>
      </c>
      <c r="H21" s="16">
        <f>MortalityTable[[#This Row],[lx]]-F22</f>
        <v>0.71671865919688571</v>
      </c>
      <c r="I21" s="16">
        <f>MortalityTable[[#This Row],[Death]]/$F$4</f>
        <v>7.1671865919688575E-4</v>
      </c>
    </row>
    <row r="22" spans="3:9">
      <c r="C22" s="4">
        <v>36</v>
      </c>
      <c r="D22" s="16">
        <v>7.2400000000000003E-4</v>
      </c>
      <c r="E22" s="16">
        <f t="shared" si="0"/>
        <v>0.99927600000000005</v>
      </c>
      <c r="F22" s="16">
        <f t="shared" si="2"/>
        <v>989.2261807841453</v>
      </c>
      <c r="G22" s="16">
        <f t="shared" si="1"/>
        <v>0.71619975488772125</v>
      </c>
      <c r="H22" s="16">
        <f>MortalityTable[[#This Row],[lx]]-F23</f>
        <v>0.75675802829994154</v>
      </c>
      <c r="I22" s="16">
        <f>MortalityTable[[#This Row],[Death]]/$F$4</f>
        <v>7.5675802829994155E-4</v>
      </c>
    </row>
    <row r="23" spans="3:9">
      <c r="C23" s="4">
        <v>37</v>
      </c>
      <c r="D23" s="16">
        <v>7.6499999999999995E-4</v>
      </c>
      <c r="E23" s="16">
        <f t="shared" si="0"/>
        <v>0.99923499999999998</v>
      </c>
      <c r="F23" s="16">
        <f t="shared" si="2"/>
        <v>988.46942275584536</v>
      </c>
      <c r="G23" s="16">
        <f t="shared" si="1"/>
        <v>0.75617910840822167</v>
      </c>
      <c r="H23" s="16">
        <f>MortalityTable[[#This Row],[lx]]-F24</f>
        <v>0.80362564070048847</v>
      </c>
      <c r="I23" s="16">
        <f>MortalityTable[[#This Row],[Death]]/$F$4</f>
        <v>8.0362564070048852E-4</v>
      </c>
    </row>
    <row r="24" spans="3:9">
      <c r="C24" s="4">
        <v>38</v>
      </c>
      <c r="D24" s="16">
        <v>8.1300000000000003E-4</v>
      </c>
      <c r="E24" s="16">
        <f t="shared" si="0"/>
        <v>0.99918700000000005</v>
      </c>
      <c r="F24" s="16">
        <f t="shared" si="2"/>
        <v>987.66579711514487</v>
      </c>
      <c r="G24" s="16">
        <f t="shared" si="1"/>
        <v>0.80297229305461282</v>
      </c>
      <c r="H24" s="16">
        <f>MortalityTable[[#This Row],[lx]]-F25</f>
        <v>0.85926924349018918</v>
      </c>
      <c r="I24" s="16">
        <f>MortalityTable[[#This Row],[Death]]/$F$4</f>
        <v>8.5926924349018924E-4</v>
      </c>
    </row>
    <row r="25" spans="3:9">
      <c r="C25" s="4">
        <v>39</v>
      </c>
      <c r="D25" s="16">
        <v>8.7000000000000001E-4</v>
      </c>
      <c r="E25" s="16">
        <f t="shared" si="0"/>
        <v>0.99912999999999996</v>
      </c>
      <c r="F25" s="16">
        <f t="shared" si="2"/>
        <v>986.80652787165468</v>
      </c>
      <c r="G25" s="16">
        <f t="shared" si="1"/>
        <v>0.85852167924833955</v>
      </c>
      <c r="H25" s="16">
        <f>MortalityTable[[#This Row],[lx]]-F26</f>
        <v>0.92463771661573446</v>
      </c>
      <c r="I25" s="16">
        <f>MortalityTable[[#This Row],[Death]]/$F$4</f>
        <v>9.2463771661573449E-4</v>
      </c>
    </row>
    <row r="26" spans="3:9">
      <c r="C26" s="4">
        <v>40</v>
      </c>
      <c r="D26" s="16">
        <v>9.3700000000000001E-4</v>
      </c>
      <c r="E26" s="16">
        <f t="shared" si="0"/>
        <v>0.99906300000000003</v>
      </c>
      <c r="F26" s="16">
        <f t="shared" si="2"/>
        <v>985.88189015503895</v>
      </c>
      <c r="G26" s="16">
        <f t="shared" si="1"/>
        <v>0.92377133107527154</v>
      </c>
      <c r="H26" s="16">
        <f>MortalityTable[[#This Row],[lx]]-F27</f>
        <v>0.99968423661721317</v>
      </c>
      <c r="I26" s="16">
        <f>MortalityTable[[#This Row],[Death]]/$F$4</f>
        <v>9.9968423661721327E-4</v>
      </c>
    </row>
    <row r="27" spans="3:9">
      <c r="C27" s="4">
        <v>41</v>
      </c>
      <c r="D27" s="16">
        <v>1.0139999999999999E-3</v>
      </c>
      <c r="E27" s="16">
        <f t="shared" si="0"/>
        <v>0.99898600000000004</v>
      </c>
      <c r="F27" s="16">
        <f t="shared" si="2"/>
        <v>984.88220591842173</v>
      </c>
      <c r="G27" s="16">
        <f t="shared" si="1"/>
        <v>0.99867055680127959</v>
      </c>
      <c r="H27" s="16">
        <f>MortalityTable[[#This Row],[lx]]-F28</f>
        <v>1.0873099553339216</v>
      </c>
      <c r="I27" s="16">
        <f>MortalityTable[[#This Row],[Death]]/$F$4</f>
        <v>1.0873099553339216E-3</v>
      </c>
    </row>
    <row r="28" spans="3:9">
      <c r="C28" s="4">
        <v>42</v>
      </c>
      <c r="D28" s="16">
        <v>1.1039999999999999E-3</v>
      </c>
      <c r="E28" s="16">
        <f t="shared" si="0"/>
        <v>0.99889600000000001</v>
      </c>
      <c r="F28" s="16">
        <f t="shared" si="2"/>
        <v>983.79489596308781</v>
      </c>
      <c r="G28" s="16">
        <f t="shared" si="1"/>
        <v>1.0861095651432489</v>
      </c>
      <c r="H28" s="16">
        <f>MortalityTable[[#This Row],[lx]]-F29</f>
        <v>1.1884242343234064</v>
      </c>
      <c r="I28" s="16">
        <f>MortalityTable[[#This Row],[Death]]/$F$4</f>
        <v>1.1884242343234064E-3</v>
      </c>
    </row>
    <row r="29" spans="3:9">
      <c r="C29" s="4">
        <v>43</v>
      </c>
      <c r="D29" s="16">
        <v>1.2080000000000001E-3</v>
      </c>
      <c r="E29" s="16">
        <f t="shared" si="0"/>
        <v>0.99879200000000001</v>
      </c>
      <c r="F29" s="16">
        <f t="shared" si="2"/>
        <v>982.6064717287644</v>
      </c>
      <c r="G29" s="16">
        <f t="shared" si="1"/>
        <v>1.1869886178483475</v>
      </c>
      <c r="H29" s="16">
        <f>MortalityTable[[#This Row],[lx]]-F30</f>
        <v>1.3039187879840028</v>
      </c>
      <c r="I29" s="16">
        <f>MortalityTable[[#This Row],[Death]]/$F$4</f>
        <v>1.3039187879840027E-3</v>
      </c>
    </row>
    <row r="30" spans="3:9">
      <c r="C30" s="4">
        <v>44</v>
      </c>
      <c r="D30" s="16">
        <v>1.3270000000000001E-3</v>
      </c>
      <c r="E30" s="16">
        <f t="shared" si="0"/>
        <v>0.99867300000000003</v>
      </c>
      <c r="F30" s="16">
        <f t="shared" si="2"/>
        <v>981.3025529407804</v>
      </c>
      <c r="G30" s="16">
        <f t="shared" si="1"/>
        <v>1.3021884877524157</v>
      </c>
      <c r="H30" s="16">
        <f>MortalityTable[[#This Row],[lx]]-F31</f>
        <v>1.4376082400582391</v>
      </c>
      <c r="I30" s="16">
        <f>MortalityTable[[#This Row],[Death]]/$F$4</f>
        <v>1.4376082400582391E-3</v>
      </c>
    </row>
    <row r="31" spans="3:9">
      <c r="C31" s="4">
        <v>45</v>
      </c>
      <c r="D31" s="16">
        <v>1.4649999999999999E-3</v>
      </c>
      <c r="E31" s="16">
        <f t="shared" si="0"/>
        <v>0.99853499999999995</v>
      </c>
      <c r="F31" s="16">
        <f t="shared" si="2"/>
        <v>979.86494470072216</v>
      </c>
      <c r="G31" s="16">
        <f t="shared" si="1"/>
        <v>1.4355021439865578</v>
      </c>
      <c r="H31" s="16">
        <f>MortalityTable[[#This Row],[lx]]-F32</f>
        <v>1.5893409403046235</v>
      </c>
      <c r="I31" s="16">
        <f>MortalityTable[[#This Row],[Death]]/$F$4</f>
        <v>1.5893409403046235E-3</v>
      </c>
    </row>
    <row r="32" spans="3:9">
      <c r="C32" s="4">
        <v>46</v>
      </c>
      <c r="D32" s="16">
        <v>1.622E-3</v>
      </c>
      <c r="E32" s="16">
        <f t="shared" si="0"/>
        <v>0.99837799999999999</v>
      </c>
      <c r="F32" s="16">
        <f t="shared" si="2"/>
        <v>978.27560376041754</v>
      </c>
      <c r="G32" s="16">
        <f t="shared" si="1"/>
        <v>1.5867630292993973</v>
      </c>
      <c r="H32" s="16">
        <f>MortalityTable[[#This Row],[lx]]-F33</f>
        <v>1.7628526379762661</v>
      </c>
      <c r="I32" s="16">
        <f>MortalityTable[[#This Row],[Death]]/$F$4</f>
        <v>1.7628526379762661E-3</v>
      </c>
    </row>
    <row r="33" spans="3:9">
      <c r="C33" s="4">
        <v>47</v>
      </c>
      <c r="D33" s="16">
        <v>1.802E-3</v>
      </c>
      <c r="E33" s="16">
        <f t="shared" si="0"/>
        <v>0.99819800000000003</v>
      </c>
      <c r="F33" s="16">
        <f t="shared" si="2"/>
        <v>976.51275112244127</v>
      </c>
      <c r="G33" s="16">
        <f t="shared" si="1"/>
        <v>1.7596759775226392</v>
      </c>
      <c r="H33" s="16">
        <f>MortalityTable[[#This Row],[lx]]-F34</f>
        <v>1.9608376042539248</v>
      </c>
      <c r="I33" s="16">
        <f>MortalityTable[[#This Row],[Death]]/$F$4</f>
        <v>1.9608376042539247E-3</v>
      </c>
    </row>
    <row r="34" spans="3:9">
      <c r="C34" s="4">
        <v>48</v>
      </c>
      <c r="D34" s="16">
        <v>2.0079999999999998E-3</v>
      </c>
      <c r="E34" s="16">
        <f t="shared" si="0"/>
        <v>0.99799199999999999</v>
      </c>
      <c r="F34" s="16">
        <f t="shared" si="2"/>
        <v>974.55191351818735</v>
      </c>
      <c r="G34" s="16">
        <f t="shared" si="1"/>
        <v>1.9569002423445201</v>
      </c>
      <c r="H34" s="16">
        <f>MortalityTable[[#This Row],[lx]]-F35</f>
        <v>2.183970838194341</v>
      </c>
      <c r="I34" s="16">
        <f>MortalityTable[[#This Row],[Death]]/$F$4</f>
        <v>2.1839708381943411E-3</v>
      </c>
    </row>
    <row r="35" spans="3:9">
      <c r="C35" s="4">
        <v>49</v>
      </c>
      <c r="D35" s="16">
        <v>2.2409999999999999E-3</v>
      </c>
      <c r="E35" s="16">
        <f t="shared" si="0"/>
        <v>0.99775899999999995</v>
      </c>
      <c r="F35" s="16">
        <f t="shared" si="2"/>
        <v>972.36794267999301</v>
      </c>
      <c r="G35" s="16">
        <f t="shared" si="1"/>
        <v>2.1790765595458641</v>
      </c>
      <c r="H35" s="16">
        <f>MortalityTable[[#This Row],[lx]]-F36</f>
        <v>2.4386988002413545</v>
      </c>
      <c r="I35" s="16">
        <f>MortalityTable[[#This Row],[Death]]/$F$4</f>
        <v>2.4386988002413545E-3</v>
      </c>
    </row>
    <row r="36" spans="3:9">
      <c r="C36" s="4">
        <v>50</v>
      </c>
      <c r="D36" s="16">
        <v>2.5079999999999998E-3</v>
      </c>
      <c r="E36" s="16">
        <f t="shared" si="0"/>
        <v>0.99749200000000005</v>
      </c>
      <c r="F36" s="16">
        <f t="shared" si="2"/>
        <v>969.92924387975165</v>
      </c>
      <c r="G36" s="16">
        <f t="shared" si="1"/>
        <v>2.4325825436504172</v>
      </c>
      <c r="H36" s="16">
        <f>MortalityTable[[#This Row],[lx]]-F37</f>
        <v>2.7245312460581772</v>
      </c>
      <c r="I36" s="16">
        <f>MortalityTable[[#This Row],[Death]]/$F$4</f>
        <v>2.7245312460581774E-3</v>
      </c>
    </row>
    <row r="37" spans="3:9">
      <c r="C37" s="4">
        <v>51</v>
      </c>
      <c r="D37" s="16">
        <v>2.8089999999999999E-3</v>
      </c>
      <c r="E37" s="16">
        <f t="shared" si="0"/>
        <v>0.99719100000000005</v>
      </c>
      <c r="F37" s="16">
        <f t="shared" si="2"/>
        <v>967.20471263369348</v>
      </c>
      <c r="G37" s="16">
        <f t="shared" si="1"/>
        <v>2.716878037788045</v>
      </c>
      <c r="H37" s="16">
        <f>MortalityTable[[#This Row],[lx]]-F38</f>
        <v>3.048629254221396</v>
      </c>
      <c r="I37" s="16">
        <f>MortalityTable[[#This Row],[Death]]/$F$4</f>
        <v>3.0486292542213959E-3</v>
      </c>
    </row>
    <row r="38" spans="3:9">
      <c r="C38" s="4">
        <v>52</v>
      </c>
      <c r="D38" s="16">
        <v>3.1519999999999999E-3</v>
      </c>
      <c r="E38" s="16">
        <f t="shared" si="0"/>
        <v>0.99684799999999996</v>
      </c>
      <c r="F38" s="16">
        <f t="shared" si="2"/>
        <v>964.15608337947208</v>
      </c>
      <c r="G38" s="16">
        <f t="shared" si="1"/>
        <v>3.0390199748120961</v>
      </c>
      <c r="H38" s="16">
        <f>MortalityTable[[#This Row],[lx]]-F39</f>
        <v>3.4121483790798948</v>
      </c>
      <c r="I38" s="16">
        <f>MortalityTable[[#This Row],[Death]]/$F$4</f>
        <v>3.4121483790798949E-3</v>
      </c>
    </row>
    <row r="39" spans="3:9">
      <c r="C39" s="4">
        <v>53</v>
      </c>
      <c r="D39" s="16">
        <v>3.539E-3</v>
      </c>
      <c r="E39" s="16">
        <f t="shared" si="0"/>
        <v>0.99646100000000004</v>
      </c>
      <c r="F39" s="16">
        <f t="shared" si="2"/>
        <v>960.74393500039218</v>
      </c>
      <c r="G39" s="16">
        <f t="shared" si="1"/>
        <v>3.4000727859663882</v>
      </c>
      <c r="H39" s="16">
        <f>MortalityTable[[#This Row],[lx]]-F40</f>
        <v>3.8199178855614946</v>
      </c>
      <c r="I39" s="16">
        <f>MortalityTable[[#This Row],[Death]]/$F$4</f>
        <v>3.8199178855614947E-3</v>
      </c>
    </row>
    <row r="40" spans="3:9">
      <c r="C40" s="4">
        <v>54</v>
      </c>
      <c r="D40" s="16">
        <v>3.9760000000000004E-3</v>
      </c>
      <c r="E40" s="16">
        <f t="shared" si="0"/>
        <v>0.99602400000000002</v>
      </c>
      <c r="F40" s="16">
        <f t="shared" si="2"/>
        <v>956.92401711483069</v>
      </c>
      <c r="G40" s="16">
        <f t="shared" si="1"/>
        <v>3.804729892048567</v>
      </c>
      <c r="H40" s="16">
        <f>MortalityTable[[#This Row],[lx]]-F41</f>
        <v>4.276493432486177</v>
      </c>
      <c r="I40" s="16">
        <f>MortalityTable[[#This Row],[Death]]/$F$4</f>
        <v>4.2764934324861772E-3</v>
      </c>
    </row>
    <row r="41" spans="3:9">
      <c r="C41" s="4">
        <v>55</v>
      </c>
      <c r="D41" s="16">
        <v>4.4689999999999999E-3</v>
      </c>
      <c r="E41" s="16">
        <f t="shared" si="0"/>
        <v>0.99553100000000005</v>
      </c>
      <c r="F41" s="16">
        <f t="shared" si="2"/>
        <v>952.64752368234451</v>
      </c>
      <c r="G41" s="16">
        <f t="shared" si="1"/>
        <v>4.2573817833363972</v>
      </c>
      <c r="H41" s="16">
        <f>MortalityTable[[#This Row],[lx]]-F42</f>
        <v>4.7870538065037636</v>
      </c>
      <c r="I41" s="16">
        <f>MortalityTable[[#This Row],[Death]]/$F$4</f>
        <v>4.7870538065037634E-3</v>
      </c>
    </row>
    <row r="42" spans="3:9">
      <c r="C42" s="4">
        <v>56</v>
      </c>
      <c r="D42" s="16">
        <v>5.025E-3</v>
      </c>
      <c r="E42" s="16">
        <f t="shared" si="0"/>
        <v>0.99497500000000005</v>
      </c>
      <c r="F42" s="16">
        <f t="shared" si="2"/>
        <v>947.86046987584075</v>
      </c>
      <c r="G42" s="16">
        <f t="shared" si="1"/>
        <v>4.7629988611260998</v>
      </c>
      <c r="H42" s="16">
        <f>MortalityTable[[#This Row],[lx]]-F43</f>
        <v>5.3554116547985586</v>
      </c>
      <c r="I42" s="16">
        <f>MortalityTable[[#This Row],[Death]]/$F$4</f>
        <v>5.3554116547985583E-3</v>
      </c>
    </row>
    <row r="43" spans="3:9">
      <c r="C43" s="4">
        <v>57</v>
      </c>
      <c r="D43" s="16">
        <v>5.6499999999999996E-3</v>
      </c>
      <c r="E43" s="16">
        <f t="shared" si="0"/>
        <v>0.99434999999999996</v>
      </c>
      <c r="F43" s="16">
        <f t="shared" si="2"/>
        <v>942.50505822104219</v>
      </c>
      <c r="G43" s="16">
        <f t="shared" si="1"/>
        <v>5.3251535789488882</v>
      </c>
      <c r="H43" s="16">
        <f>MortalityTable[[#This Row],[lx]]-F44</f>
        <v>5.9867921298200599</v>
      </c>
      <c r="I43" s="16">
        <f>MortalityTable[[#This Row],[Death]]/$F$4</f>
        <v>5.9867921298200595E-3</v>
      </c>
    </row>
    <row r="44" spans="3:9">
      <c r="C44" s="4">
        <v>58</v>
      </c>
      <c r="D44" s="16">
        <v>6.352E-3</v>
      </c>
      <c r="E44" s="16">
        <f t="shared" si="0"/>
        <v>0.99364799999999998</v>
      </c>
      <c r="F44" s="16">
        <f t="shared" si="2"/>
        <v>936.51826609122213</v>
      </c>
      <c r="G44" s="16">
        <f t="shared" si="1"/>
        <v>5.9487640262114434</v>
      </c>
      <c r="H44" s="16">
        <f>MortalityTable[[#This Row],[lx]]-F45</f>
        <v>6.6867404198914073</v>
      </c>
      <c r="I44" s="16">
        <f>MortalityTable[[#This Row],[Death]]/$F$4</f>
        <v>6.6867404198914073E-3</v>
      </c>
    </row>
    <row r="45" spans="3:9">
      <c r="C45" s="4">
        <v>59</v>
      </c>
      <c r="D45" s="16">
        <v>7.1399999999999996E-3</v>
      </c>
      <c r="E45" s="16">
        <f t="shared" si="0"/>
        <v>0.99285999999999996</v>
      </c>
      <c r="F45" s="16">
        <f t="shared" si="2"/>
        <v>929.83152567133072</v>
      </c>
      <c r="G45" s="16">
        <f t="shared" si="1"/>
        <v>6.6389970932933009</v>
      </c>
      <c r="H45" s="16">
        <f>MortalityTable[[#This Row],[lx]]-F46</f>
        <v>7.4591084989353931</v>
      </c>
      <c r="I45" s="16">
        <f>MortalityTable[[#This Row],[Death]]/$F$4</f>
        <v>7.4591084989353929E-3</v>
      </c>
    </row>
    <row r="46" spans="3:9">
      <c r="C46" s="4">
        <v>60</v>
      </c>
      <c r="D46" s="16">
        <v>8.0219999999999996E-3</v>
      </c>
      <c r="E46" s="16">
        <f t="shared" si="0"/>
        <v>0.99197800000000003</v>
      </c>
      <c r="F46" s="16">
        <f t="shared" si="2"/>
        <v>922.37241717239533</v>
      </c>
      <c r="G46" s="16">
        <f t="shared" si="1"/>
        <v>7.3992715305569554</v>
      </c>
      <c r="H46" s="16">
        <f>MortalityTable[[#This Row],[lx]]-F47</f>
        <v>8.3096531063062002</v>
      </c>
      <c r="I46" s="16">
        <f>MortalityTable[[#This Row],[Death]]/$F$4</f>
        <v>8.3096531063062001E-3</v>
      </c>
    </row>
    <row r="47" spans="3:9">
      <c r="C47" s="4">
        <v>61</v>
      </c>
      <c r="D47" s="16">
        <v>9.0089999999999996E-3</v>
      </c>
      <c r="E47" s="16">
        <f t="shared" si="0"/>
        <v>0.99099099999999996</v>
      </c>
      <c r="F47" s="16">
        <f t="shared" si="2"/>
        <v>914.06276406608913</v>
      </c>
      <c r="G47" s="16">
        <f t="shared" si="1"/>
        <v>8.2347914414713959</v>
      </c>
      <c r="H47" s="16">
        <f>MortalityTable[[#This Row],[lx]]-F48</f>
        <v>9.2430026702362511</v>
      </c>
      <c r="I47" s="16">
        <f>MortalityTable[[#This Row],[Death]]/$F$4</f>
        <v>9.2430026702362503E-3</v>
      </c>
    </row>
    <row r="48" spans="3:9">
      <c r="C48" s="4">
        <v>62</v>
      </c>
      <c r="D48" s="16">
        <v>1.0111999999999999E-2</v>
      </c>
      <c r="E48" s="16">
        <f t="shared" si="0"/>
        <v>0.98988799999999999</v>
      </c>
      <c r="F48" s="16">
        <f t="shared" si="2"/>
        <v>904.81976139585288</v>
      </c>
      <c r="G48" s="16">
        <f t="shared" si="1"/>
        <v>9.1495374272348631</v>
      </c>
      <c r="H48" s="16">
        <f>MortalityTable[[#This Row],[lx]]-F49</f>
        <v>10.264275373274586</v>
      </c>
      <c r="I48" s="16">
        <f>MortalityTable[[#This Row],[Death]]/$F$4</f>
        <v>1.0264275373274586E-2</v>
      </c>
    </row>
    <row r="49" spans="3:9">
      <c r="C49" s="4">
        <v>63</v>
      </c>
      <c r="D49" s="16">
        <v>1.1344E-2</v>
      </c>
      <c r="E49" s="16">
        <f t="shared" si="0"/>
        <v>0.98865599999999998</v>
      </c>
      <c r="F49" s="16">
        <f t="shared" si="2"/>
        <v>894.55548602257829</v>
      </c>
      <c r="G49" s="16">
        <f t="shared" si="1"/>
        <v>10.147837433440127</v>
      </c>
      <c r="H49" s="16">
        <f>MortalityTable[[#This Row],[lx]]-F50</f>
        <v>11.375167560263094</v>
      </c>
      <c r="I49" s="16">
        <f>MortalityTable[[#This Row],[Death]]/$F$4</f>
        <v>1.1375167560263093E-2</v>
      </c>
    </row>
    <row r="50" spans="3:9">
      <c r="C50" s="4">
        <v>64</v>
      </c>
      <c r="D50" s="16">
        <v>1.2716E-2</v>
      </c>
      <c r="E50" s="16">
        <f t="shared" si="0"/>
        <v>0.98728400000000005</v>
      </c>
      <c r="F50" s="16">
        <f t="shared" si="2"/>
        <v>883.1803184623152</v>
      </c>
      <c r="G50" s="16">
        <f t="shared" si="1"/>
        <v>11.230520929566801</v>
      </c>
      <c r="H50" s="16">
        <f>MortalityTable[[#This Row],[lx]]-F51</f>
        <v>12.579137275858784</v>
      </c>
      <c r="I50" s="16">
        <f>MortalityTable[[#This Row],[Death]]/$F$4</f>
        <v>1.2579137275858784E-2</v>
      </c>
    </row>
    <row r="51" spans="3:9">
      <c r="C51" s="4">
        <v>65</v>
      </c>
      <c r="D51" s="16">
        <v>1.4243E-2</v>
      </c>
      <c r="E51" s="16">
        <f t="shared" si="0"/>
        <v>0.98575699999999999</v>
      </c>
      <c r="F51" s="16">
        <f t="shared" si="2"/>
        <v>870.60118118645642</v>
      </c>
      <c r="G51" s="16">
        <f t="shared" si="1"/>
        <v>12.3999726236387</v>
      </c>
      <c r="H51" s="16">
        <f>MortalityTable[[#This Row],[lx]]-F52</f>
        <v>13.877382828112104</v>
      </c>
      <c r="I51" s="16">
        <f>MortalityTable[[#This Row],[Death]]/$F$4</f>
        <v>1.3877382828112104E-2</v>
      </c>
    </row>
    <row r="52" spans="3:9">
      <c r="C52" s="4">
        <v>66</v>
      </c>
      <c r="D52" s="16">
        <v>1.5939999999999999E-2</v>
      </c>
      <c r="E52" s="16">
        <f t="shared" si="0"/>
        <v>0.98406000000000005</v>
      </c>
      <c r="F52" s="16">
        <f t="shared" si="2"/>
        <v>856.72379835834431</v>
      </c>
      <c r="G52" s="16">
        <f t="shared" si="1"/>
        <v>13.656177345832008</v>
      </c>
      <c r="H52" s="16">
        <f>MortalityTable[[#This Row],[lx]]-F53</f>
        <v>15.270244981939072</v>
      </c>
      <c r="I52" s="16">
        <f>MortalityTable[[#This Row],[Death]]/$F$4</f>
        <v>1.5270244981939072E-2</v>
      </c>
    </row>
    <row r="53" spans="3:9">
      <c r="C53" s="4">
        <v>67</v>
      </c>
      <c r="D53" s="16">
        <v>1.7824E-2</v>
      </c>
      <c r="E53" s="16">
        <f t="shared" si="0"/>
        <v>0.98217600000000005</v>
      </c>
      <c r="F53" s="16">
        <f t="shared" si="2"/>
        <v>841.45355337640524</v>
      </c>
      <c r="G53" s="16">
        <f t="shared" si="1"/>
        <v>14.998068135381047</v>
      </c>
      <c r="H53" s="16">
        <f>MortalityTable[[#This Row],[lx]]-F54</f>
        <v>16.755864608384286</v>
      </c>
      <c r="I53" s="16">
        <f>MortalityTable[[#This Row],[Death]]/$F$4</f>
        <v>1.6755864608384286E-2</v>
      </c>
    </row>
    <row r="54" spans="3:9">
      <c r="C54" s="4">
        <v>68</v>
      </c>
      <c r="D54" s="16">
        <v>1.9913E-2</v>
      </c>
      <c r="E54" s="16">
        <f t="shared" si="0"/>
        <v>0.98008700000000004</v>
      </c>
      <c r="F54" s="16">
        <f t="shared" si="2"/>
        <v>824.69768876802095</v>
      </c>
      <c r="G54" s="16">
        <f t="shared" si="1"/>
        <v>16.422205076437603</v>
      </c>
      <c r="H54" s="16">
        <f>MortalityTable[[#This Row],[lx]]-F55</f>
        <v>18.329730830557992</v>
      </c>
      <c r="I54" s="16">
        <f>MortalityTable[[#This Row],[Death]]/$F$4</f>
        <v>1.8329730830557993E-2</v>
      </c>
    </row>
    <row r="55" spans="3:9">
      <c r="C55" s="4">
        <v>69</v>
      </c>
      <c r="D55" s="16">
        <v>2.2225999999999999E-2</v>
      </c>
      <c r="E55" s="16">
        <f t="shared" si="0"/>
        <v>0.97777400000000003</v>
      </c>
      <c r="F55" s="16">
        <f t="shared" si="2"/>
        <v>806.36795793746296</v>
      </c>
      <c r="G55" s="16">
        <f t="shared" si="1"/>
        <v>17.92233423311805</v>
      </c>
      <c r="H55" s="16">
        <f>MortalityTable[[#This Row],[lx]]-F56</f>
        <v>19.984217101564127</v>
      </c>
      <c r="I55" s="16">
        <f>MortalityTable[[#This Row],[Death]]/$F$4</f>
        <v>1.9984217101564127E-2</v>
      </c>
    </row>
    <row r="56" spans="3:9">
      <c r="C56" s="4">
        <v>70</v>
      </c>
      <c r="D56" s="16">
        <v>2.4782999999999999E-2</v>
      </c>
      <c r="E56" s="16">
        <f t="shared" si="0"/>
        <v>0.975217</v>
      </c>
      <c r="F56" s="16">
        <f t="shared" si="2"/>
        <v>786.38374083589883</v>
      </c>
      <c r="G56" s="16">
        <f t="shared" si="1"/>
        <v>19.488948249136079</v>
      </c>
      <c r="H56" s="16">
        <f>MortalityTable[[#This Row],[lx]]-F57</f>
        <v>21.708909549515852</v>
      </c>
      <c r="I56" s="16">
        <f>MortalityTable[[#This Row],[Death]]/$F$4</f>
        <v>2.1708909549515851E-2</v>
      </c>
    </row>
    <row r="57" spans="3:9">
      <c r="C57" s="4">
        <v>71</v>
      </c>
      <c r="D57" s="16">
        <v>2.7605999999999999E-2</v>
      </c>
      <c r="E57" s="16">
        <f t="shared" si="0"/>
        <v>0.97239399999999998</v>
      </c>
      <c r="F57" s="16">
        <f t="shared" si="2"/>
        <v>764.67483128638298</v>
      </c>
      <c r="G57" s="16">
        <f t="shared" si="1"/>
        <v>21.109613392491887</v>
      </c>
      <c r="H57" s="16">
        <f>MortalityTable[[#This Row],[lx]]-F58</f>
        <v>23.489281467455157</v>
      </c>
      <c r="I57" s="16">
        <f>MortalityTable[[#This Row],[Death]]/$F$4</f>
        <v>2.3489281467455159E-2</v>
      </c>
    </row>
    <row r="58" spans="3:9">
      <c r="C58" s="4">
        <v>72</v>
      </c>
      <c r="D58" s="16">
        <v>3.0717999999999999E-2</v>
      </c>
      <c r="E58" s="16">
        <f t="shared" si="0"/>
        <v>0.96928199999999998</v>
      </c>
      <c r="F58" s="16">
        <f t="shared" si="2"/>
        <v>741.18554981892783</v>
      </c>
      <c r="G58" s="16">
        <f t="shared" si="1"/>
        <v>22.767737719337823</v>
      </c>
      <c r="H58" s="16">
        <f>MortalityTable[[#This Row],[lx]]-F59</f>
        <v>25.307039413017492</v>
      </c>
      <c r="I58" s="16">
        <f>MortalityTable[[#This Row],[Death]]/$F$4</f>
        <v>2.5307039413017492E-2</v>
      </c>
    </row>
    <row r="59" spans="3:9">
      <c r="C59" s="4">
        <v>73</v>
      </c>
      <c r="D59" s="16">
        <v>3.4144000000000001E-2</v>
      </c>
      <c r="E59" s="16">
        <f t="shared" si="0"/>
        <v>0.96585600000000005</v>
      </c>
      <c r="F59" s="16">
        <f t="shared" si="2"/>
        <v>715.87851040591033</v>
      </c>
      <c r="G59" s="16">
        <f t="shared" si="1"/>
        <v>24.442955859299403</v>
      </c>
      <c r="H59" s="16">
        <f>MortalityTable[[#This Row],[lx]]-F60</f>
        <v>27.139670207998506</v>
      </c>
      <c r="I59" s="16">
        <f>MortalityTable[[#This Row],[Death]]/$F$4</f>
        <v>2.7139670207998505E-2</v>
      </c>
    </row>
    <row r="60" spans="3:9">
      <c r="C60" s="4">
        <v>74</v>
      </c>
      <c r="D60" s="16">
        <v>3.7911E-2</v>
      </c>
      <c r="E60" s="16">
        <f t="shared" si="0"/>
        <v>0.96208899999999997</v>
      </c>
      <c r="F60" s="16">
        <f t="shared" si="2"/>
        <v>688.73884019791183</v>
      </c>
      <c r="G60" s="16">
        <f t="shared" si="1"/>
        <v>26.110778170743036</v>
      </c>
      <c r="H60" s="16">
        <f>MortalityTable[[#This Row],[lx]]-F61</f>
        <v>28.958713274961383</v>
      </c>
      <c r="I60" s="16">
        <f>MortalityTable[[#This Row],[Death]]/$F$4</f>
        <v>2.8958713274961384E-2</v>
      </c>
    </row>
    <row r="61" spans="3:9">
      <c r="C61" s="4">
        <v>75</v>
      </c>
      <c r="D61" s="16">
        <v>4.2046E-2</v>
      </c>
      <c r="E61" s="16">
        <f t="shared" si="0"/>
        <v>0.95795399999999997</v>
      </c>
      <c r="F61" s="16">
        <f t="shared" si="2"/>
        <v>659.78012692295044</v>
      </c>
      <c r="G61" s="16">
        <f t="shared" si="1"/>
        <v>27.741115216602374</v>
      </c>
      <c r="H61" s="16">
        <f>MortalityTable[[#This Row],[lx]]-F62</f>
        <v>30.731238751817159</v>
      </c>
      <c r="I61" s="16">
        <f>MortalityTable[[#This Row],[Death]]/$F$4</f>
        <v>3.0731238751817158E-2</v>
      </c>
    </row>
    <row r="62" spans="3:9">
      <c r="C62" s="4">
        <v>76</v>
      </c>
      <c r="D62" s="16">
        <v>4.6578000000000001E-2</v>
      </c>
      <c r="E62" s="16">
        <f t="shared" si="0"/>
        <v>0.95342199999999999</v>
      </c>
      <c r="F62" s="16">
        <f t="shared" si="2"/>
        <v>629.04888817113329</v>
      </c>
      <c r="G62" s="16">
        <f t="shared" si="1"/>
        <v>29.299839113235048</v>
      </c>
      <c r="H62" s="16">
        <f>MortalityTable[[#This Row],[lx]]-F63</f>
        <v>32.41992159856386</v>
      </c>
      <c r="I62" s="16">
        <f>MortalityTable[[#This Row],[Death]]/$F$4</f>
        <v>3.2419921598563863E-2</v>
      </c>
    </row>
    <row r="63" spans="3:9">
      <c r="C63" s="4">
        <v>77</v>
      </c>
      <c r="D63" s="16">
        <v>5.1538E-2</v>
      </c>
      <c r="E63" s="16">
        <f t="shared" si="0"/>
        <v>0.94846200000000003</v>
      </c>
      <c r="F63" s="16">
        <f t="shared" si="2"/>
        <v>596.62896657256942</v>
      </c>
      <c r="G63" s="16">
        <f t="shared" si="1"/>
        <v>30.749063679217084</v>
      </c>
      <c r="H63" s="16">
        <f>MortalityTable[[#This Row],[lx]]-F64</f>
        <v>33.981599420107273</v>
      </c>
      <c r="I63" s="16">
        <f>MortalityTable[[#This Row],[Death]]/$F$4</f>
        <v>3.398159942010727E-2</v>
      </c>
    </row>
    <row r="64" spans="3:9">
      <c r="C64" s="4">
        <v>78</v>
      </c>
      <c r="D64" s="16">
        <v>5.6956E-2</v>
      </c>
      <c r="E64" s="16">
        <f t="shared" si="0"/>
        <v>0.94304399999999999</v>
      </c>
      <c r="F64" s="16">
        <f t="shared" si="2"/>
        <v>562.64736715246215</v>
      </c>
      <c r="G64" s="16">
        <f t="shared" si="1"/>
        <v>32.046143443535634</v>
      </c>
      <c r="H64" s="16">
        <f>MortalityTable[[#This Row],[lx]]-F65</f>
        <v>35.371952030773855</v>
      </c>
      <c r="I64" s="16">
        <f>MortalityTable[[#This Row],[Death]]/$F$4</f>
        <v>3.5371952030773854E-2</v>
      </c>
    </row>
    <row r="65" spans="3:9">
      <c r="C65" s="4">
        <v>79</v>
      </c>
      <c r="D65" s="16">
        <v>6.2867000000000006E-2</v>
      </c>
      <c r="E65" s="16">
        <f t="shared" si="0"/>
        <v>0.93713299999999999</v>
      </c>
      <c r="F65" s="16">
        <f t="shared" si="2"/>
        <v>527.2754151216883</v>
      </c>
      <c r="G65" s="16">
        <f t="shared" si="1"/>
        <v>33.148223522455183</v>
      </c>
      <c r="H65" s="16">
        <f>MortalityTable[[#This Row],[lx]]-F66</f>
        <v>36.541768094178394</v>
      </c>
      <c r="I65" s="16">
        <f>MortalityTable[[#This Row],[Death]]/$F$4</f>
        <v>3.6541768094178396E-2</v>
      </c>
    </row>
    <row r="66" spans="3:9">
      <c r="C66" s="4">
        <v>80</v>
      </c>
      <c r="D66" s="16">
        <v>6.9303000000000003E-2</v>
      </c>
      <c r="E66" s="16">
        <f t="shared" si="0"/>
        <v>0.930697</v>
      </c>
      <c r="F66" s="16">
        <f t="shared" si="2"/>
        <v>490.7336470275099</v>
      </c>
      <c r="G66" s="16">
        <f t="shared" si="1"/>
        <v>34.009313939947518</v>
      </c>
      <c r="H66" s="16">
        <f>MortalityTable[[#This Row],[lx]]-F67</f>
        <v>37.442977268199002</v>
      </c>
      <c r="I66" s="16">
        <f>MortalityTable[[#This Row],[Death]]/$F$4</f>
        <v>3.7442977268199E-2</v>
      </c>
    </row>
    <row r="67" spans="3:9">
      <c r="C67" s="4">
        <v>81</v>
      </c>
      <c r="D67" s="16">
        <v>7.6300000000000007E-2</v>
      </c>
      <c r="E67" s="16">
        <f t="shared" si="0"/>
        <v>0.92369999999999997</v>
      </c>
      <c r="F67" s="16">
        <f t="shared" si="2"/>
        <v>453.2906697593109</v>
      </c>
      <c r="G67" s="16">
        <f t="shared" si="1"/>
        <v>34.586078102635426</v>
      </c>
      <c r="H67" s="16">
        <f>MortalityTable[[#This Row],[lx]]-F68</f>
        <v>38.027914158117881</v>
      </c>
      <c r="I67" s="16">
        <f>MortalityTable[[#This Row],[Death]]/$F$4</f>
        <v>3.8027914158117883E-2</v>
      </c>
    </row>
    <row r="68" spans="3:9">
      <c r="C68" s="4">
        <v>82</v>
      </c>
      <c r="D68" s="16">
        <v>8.3892999999999995E-2</v>
      </c>
      <c r="E68" s="16">
        <f t="shared" si="0"/>
        <v>0.916107</v>
      </c>
      <c r="F68" s="16">
        <f t="shared" si="2"/>
        <v>415.26275560119302</v>
      </c>
      <c r="G68" s="16">
        <f t="shared" si="1"/>
        <v>34.837638355650881</v>
      </c>
      <c r="H68" s="16">
        <f>MortalityTable[[#This Row],[lx]]-F69</f>
        <v>38.252759257715127</v>
      </c>
      <c r="I68" s="16">
        <f>MortalityTable[[#This Row],[Death]]/$F$4</f>
        <v>3.8252759257715124E-2</v>
      </c>
    </row>
    <row r="69" spans="3:9">
      <c r="C69" s="4">
        <v>83</v>
      </c>
      <c r="D69" s="16">
        <v>9.2117000000000004E-2</v>
      </c>
      <c r="E69" s="16">
        <f t="shared" ref="E69:E86" si="3">1-D69</f>
        <v>0.907883</v>
      </c>
      <c r="F69" s="16">
        <f t="shared" si="2"/>
        <v>377.00999634347789</v>
      </c>
      <c r="G69" s="16">
        <f t="shared" ref="G69:G86" si="4">F69*D69</f>
        <v>34.729029833172156</v>
      </c>
      <c r="H69" s="16">
        <f>MortalityTable[[#This Row],[lx]]-F70</f>
        <v>38.080648700665677</v>
      </c>
      <c r="I69" s="16">
        <f>MortalityTable[[#This Row],[Death]]/$F$4</f>
        <v>3.808064870066568E-2</v>
      </c>
    </row>
    <row r="70" spans="3:9">
      <c r="C70" s="4">
        <v>84</v>
      </c>
      <c r="D70" s="16">
        <v>0.101007</v>
      </c>
      <c r="E70" s="16">
        <f t="shared" si="3"/>
        <v>0.89899300000000004</v>
      </c>
      <c r="F70" s="16">
        <f t="shared" ref="F70:F86" si="5">F69*E70</f>
        <v>338.92934764281222</v>
      </c>
      <c r="G70" s="16">
        <f t="shared" si="4"/>
        <v>34.234236617357531</v>
      </c>
      <c r="H70" s="16">
        <f>MortalityTable[[#This Row],[lx]]-F71</f>
        <v>37.485585849295035</v>
      </c>
      <c r="I70" s="16">
        <f>MortalityTable[[#This Row],[Death]]/$F$4</f>
        <v>3.7485585849295032E-2</v>
      </c>
    </row>
    <row r="71" spans="3:9">
      <c r="C71" s="4">
        <v>85</v>
      </c>
      <c r="D71" s="16">
        <v>0.1106</v>
      </c>
      <c r="E71" s="16">
        <f t="shared" si="3"/>
        <v>0.88939999999999997</v>
      </c>
      <c r="F71" s="16">
        <f t="shared" si="5"/>
        <v>301.44376179351718</v>
      </c>
      <c r="G71" s="16">
        <f t="shared" si="4"/>
        <v>33.339680054363001</v>
      </c>
      <c r="H71" s="16">
        <f>MortalityTable[[#This Row],[lx]]-F72</f>
        <v>36.453292669928203</v>
      </c>
      <c r="I71" s="16">
        <f>MortalityTable[[#This Row],[Death]]/$F$4</f>
        <v>3.6453292669928201E-2</v>
      </c>
    </row>
    <row r="72" spans="3:9">
      <c r="C72" s="4">
        <v>86</v>
      </c>
      <c r="D72" s="16">
        <v>0.12092899999999999</v>
      </c>
      <c r="E72" s="16">
        <f t="shared" si="3"/>
        <v>0.87907100000000005</v>
      </c>
      <c r="F72" s="16">
        <f t="shared" si="5"/>
        <v>264.99046912358898</v>
      </c>
      <c r="G72" s="16">
        <f t="shared" si="4"/>
        <v>32.045032440646487</v>
      </c>
      <c r="H72" s="16">
        <f>MortalityTable[[#This Row],[lx]]-F73</f>
        <v>34.986161657449202</v>
      </c>
      <c r="I72" s="16">
        <f>MortalityTable[[#This Row],[Death]]/$F$4</f>
        <v>3.4986161657449201E-2</v>
      </c>
    </row>
    <row r="73" spans="3:9">
      <c r="C73" s="4">
        <v>87</v>
      </c>
      <c r="D73" s="16">
        <v>0.13202800000000001</v>
      </c>
      <c r="E73" s="16">
        <f t="shared" si="3"/>
        <v>0.86797199999999997</v>
      </c>
      <c r="F73" s="16">
        <f t="shared" si="5"/>
        <v>230.00430746613978</v>
      </c>
      <c r="G73" s="16">
        <f t="shared" si="4"/>
        <v>30.367008706139504</v>
      </c>
      <c r="H73" s="16">
        <f>MortalityTable[[#This Row],[lx]]-F74</f>
        <v>33.10428996929403</v>
      </c>
      <c r="I73" s="16">
        <f>MortalityTable[[#This Row],[Death]]/$F$4</f>
        <v>3.3104289969294029E-2</v>
      </c>
    </row>
    <row r="74" spans="3:9">
      <c r="C74" s="4">
        <v>88</v>
      </c>
      <c r="D74" s="16">
        <v>0.143929</v>
      </c>
      <c r="E74" s="16">
        <f t="shared" si="3"/>
        <v>0.85607100000000003</v>
      </c>
      <c r="F74" s="16">
        <f t="shared" si="5"/>
        <v>196.90001749684575</v>
      </c>
      <c r="G74" s="16">
        <f t="shared" si="4"/>
        <v>28.339622618303512</v>
      </c>
      <c r="H74" s="16">
        <f>MortalityTable[[#This Row],[lx]]-F75</f>
        <v>30.846356741055871</v>
      </c>
      <c r="I74" s="16">
        <f>MortalityTable[[#This Row],[Death]]/$F$4</f>
        <v>3.0846356741055871E-2</v>
      </c>
    </row>
    <row r="75" spans="3:9">
      <c r="C75" s="4">
        <v>89</v>
      </c>
      <c r="D75" s="16">
        <v>0.15665999999999999</v>
      </c>
      <c r="E75" s="16">
        <f t="shared" si="3"/>
        <v>0.84333999999999998</v>
      </c>
      <c r="F75" s="16">
        <f t="shared" si="5"/>
        <v>166.05366075578988</v>
      </c>
      <c r="G75" s="16">
        <f t="shared" si="4"/>
        <v>26.013966494002041</v>
      </c>
      <c r="H75" s="16">
        <f>MortalityTable[[#This Row],[lx]]-F76</f>
        <v>28.270137582690978</v>
      </c>
      <c r="I75" s="16">
        <f>MortalityTable[[#This Row],[Death]]/$F$4</f>
        <v>2.827013758269098E-2</v>
      </c>
    </row>
    <row r="76" spans="3:9">
      <c r="C76" s="4">
        <v>90</v>
      </c>
      <c r="D76" s="16">
        <v>0.17024700000000001</v>
      </c>
      <c r="E76" s="16">
        <f t="shared" si="3"/>
        <v>0.82975299999999996</v>
      </c>
      <c r="F76" s="16">
        <f t="shared" si="5"/>
        <v>137.7835231730989</v>
      </c>
      <c r="G76" s="16">
        <f t="shared" si="4"/>
        <v>23.457231469650569</v>
      </c>
      <c r="H76" s="16">
        <f>MortalityTable[[#This Row],[lx]]-F77</f>
        <v>25.450545699395789</v>
      </c>
      <c r="I76" s="16">
        <f>MortalityTable[[#This Row],[Death]]/$F$4</f>
        <v>2.5450545699395789E-2</v>
      </c>
    </row>
    <row r="77" spans="3:9">
      <c r="C77" s="4">
        <v>91</v>
      </c>
      <c r="D77" s="16">
        <v>0.18471399999999999</v>
      </c>
      <c r="E77" s="16">
        <f t="shared" si="3"/>
        <v>0.81528599999999996</v>
      </c>
      <c r="F77" s="16">
        <f t="shared" si="5"/>
        <v>112.33297747370311</v>
      </c>
      <c r="G77" s="16">
        <f t="shared" si="4"/>
        <v>20.749473601077597</v>
      </c>
      <c r="H77" s="16">
        <f>MortalityTable[[#This Row],[lx]]-F78</f>
        <v>22.475469799961047</v>
      </c>
      <c r="I77" s="16">
        <f>MortalityTable[[#This Row],[Death]]/$F$4</f>
        <v>2.2475469799961047E-2</v>
      </c>
    </row>
    <row r="78" spans="3:9">
      <c r="C78" s="4">
        <v>92</v>
      </c>
      <c r="D78" s="16">
        <v>0.20007900000000001</v>
      </c>
      <c r="E78" s="16">
        <f t="shared" si="3"/>
        <v>0.79992099999999999</v>
      </c>
      <c r="F78" s="16">
        <f t="shared" si="5"/>
        <v>89.857507673742063</v>
      </c>
      <c r="G78" s="16">
        <f t="shared" si="4"/>
        <v>17.978600277854639</v>
      </c>
      <c r="H78" s="16">
        <f>MortalityTable[[#This Row],[lx]]-F79</f>
        <v>19.441031215244791</v>
      </c>
      <c r="I78" s="16">
        <f>MortalityTable[[#This Row],[Death]]/$F$4</f>
        <v>1.9441031215244792E-2</v>
      </c>
    </row>
    <row r="79" spans="3:9">
      <c r="C79" s="4">
        <v>93</v>
      </c>
      <c r="D79" s="16">
        <v>0.21635399999999999</v>
      </c>
      <c r="E79" s="16">
        <f t="shared" si="3"/>
        <v>0.78364600000000006</v>
      </c>
      <c r="F79" s="16">
        <f t="shared" si="5"/>
        <v>70.416476458497272</v>
      </c>
      <c r="G79" s="16">
        <f t="shared" si="4"/>
        <v>15.234886347701718</v>
      </c>
      <c r="H79" s="16">
        <f>MortalityTable[[#This Row],[lx]]-F80</f>
        <v>16.445627243929117</v>
      </c>
      <c r="I79" s="16">
        <f>MortalityTable[[#This Row],[Death]]/$F$4</f>
        <v>1.6445627243929117E-2</v>
      </c>
    </row>
    <row r="80" spans="3:9">
      <c r="C80" s="4">
        <v>94</v>
      </c>
      <c r="D80" s="16">
        <v>0.23354800000000001</v>
      </c>
      <c r="E80" s="16">
        <f t="shared" si="3"/>
        <v>0.76645200000000002</v>
      </c>
      <c r="F80" s="16">
        <f t="shared" si="5"/>
        <v>53.970849214568155</v>
      </c>
      <c r="G80" s="16">
        <f t="shared" si="4"/>
        <v>12.604783892363963</v>
      </c>
      <c r="H80" s="16">
        <f>MortalityTable[[#This Row],[lx]]-F81</f>
        <v>13.582411855036653</v>
      </c>
      <c r="I80" s="16">
        <f>MortalityTable[[#This Row],[Death]]/$F$4</f>
        <v>1.3582411855036653E-2</v>
      </c>
    </row>
    <row r="81" spans="3:9">
      <c r="C81" s="4">
        <v>95</v>
      </c>
      <c r="D81" s="16">
        <v>0.251662</v>
      </c>
      <c r="E81" s="16">
        <f t="shared" si="3"/>
        <v>0.74833799999999995</v>
      </c>
      <c r="F81" s="16">
        <f t="shared" si="5"/>
        <v>40.388437359531501</v>
      </c>
      <c r="G81" s="16">
        <f t="shared" si="4"/>
        <v>10.164234922774417</v>
      </c>
      <c r="H81" s="16">
        <f>MortalityTable[[#This Row],[lx]]-F82</f>
        <v>10.932665331976864</v>
      </c>
      <c r="I81" s="16">
        <f>MortalityTable[[#This Row],[Death]]/$F$4</f>
        <v>1.0932665331976864E-2</v>
      </c>
    </row>
    <row r="82" spans="3:9">
      <c r="C82" s="4">
        <v>96</v>
      </c>
      <c r="D82" s="16">
        <v>0.27068799999999998</v>
      </c>
      <c r="E82" s="16">
        <f t="shared" si="3"/>
        <v>0.72931199999999996</v>
      </c>
      <c r="F82" s="16">
        <f t="shared" si="5"/>
        <v>29.455772027554637</v>
      </c>
      <c r="G82" s="16">
        <f t="shared" si="4"/>
        <v>7.9733240185947096</v>
      </c>
      <c r="H82" s="16">
        <f>MortalityTable[[#This Row],[lx]]-F83</f>
        <v>8.5602302762437361</v>
      </c>
      <c r="I82" s="16">
        <f>MortalityTable[[#This Row],[Death]]/$F$4</f>
        <v>8.5602302762437365E-3</v>
      </c>
    </row>
    <row r="83" spans="3:9">
      <c r="C83" s="4">
        <v>97</v>
      </c>
      <c r="D83" s="16">
        <v>0.29061300000000001</v>
      </c>
      <c r="E83" s="16">
        <f t="shared" si="3"/>
        <v>0.70938699999999999</v>
      </c>
      <c r="F83" s="16">
        <f t="shared" si="5"/>
        <v>20.895541751310901</v>
      </c>
      <c r="G83" s="16">
        <f t="shared" si="4"/>
        <v>6.0725160749737155</v>
      </c>
      <c r="H83" s="16">
        <f>MortalityTable[[#This Row],[lx]]-F84</f>
        <v>6.5071642389427353</v>
      </c>
      <c r="I83" s="16">
        <f>MortalityTable[[#This Row],[Death]]/$F$4</f>
        <v>6.5071642389427356E-3</v>
      </c>
    </row>
    <row r="84" spans="3:9">
      <c r="C84" s="4">
        <v>98</v>
      </c>
      <c r="D84" s="16">
        <v>0.31141400000000002</v>
      </c>
      <c r="E84" s="16">
        <f t="shared" si="3"/>
        <v>0.68858599999999992</v>
      </c>
      <c r="F84" s="16">
        <f t="shared" si="5"/>
        <v>14.388377512368166</v>
      </c>
      <c r="G84" s="16">
        <f t="shared" si="4"/>
        <v>4.4807421946366199</v>
      </c>
      <c r="H84" s="16">
        <f>MortalityTable[[#This Row],[lx]]-F85</f>
        <v>4.7921642375143172</v>
      </c>
      <c r="I84" s="16">
        <f>MortalityTable[[#This Row],[Death]]/$F$4</f>
        <v>4.792164237514317E-3</v>
      </c>
    </row>
    <row r="85" spans="3:9">
      <c r="C85" s="4">
        <v>99</v>
      </c>
      <c r="D85" s="16">
        <v>0.33305800000000002</v>
      </c>
      <c r="E85" s="16">
        <f t="shared" si="3"/>
        <v>0.66694199999999992</v>
      </c>
      <c r="F85" s="16">
        <f t="shared" si="5"/>
        <v>9.5962132748538487</v>
      </c>
      <c r="G85" s="16">
        <f t="shared" si="4"/>
        <v>3.1960956008962733</v>
      </c>
      <c r="H85" s="16">
        <f>MortalityTable[[#This Row],[lx]]-F86</f>
        <v>3.4115018002769171</v>
      </c>
      <c r="I85" s="16">
        <f>MortalityTable[[#This Row],[Death]]/$F$4</f>
        <v>3.4115018002769172E-3</v>
      </c>
    </row>
    <row r="86" spans="3:9">
      <c r="C86" s="4">
        <v>100</v>
      </c>
      <c r="D86" s="16">
        <v>0.35550500000000002</v>
      </c>
      <c r="E86" s="16">
        <f t="shared" si="3"/>
        <v>0.64449500000000004</v>
      </c>
      <c r="F86" s="16">
        <f t="shared" si="5"/>
        <v>6.1847114745769316</v>
      </c>
      <c r="G86" s="16">
        <f t="shared" si="4"/>
        <v>2.1986958527694722</v>
      </c>
      <c r="H86" s="16">
        <f>MortalityTable[[#This Row],[lx]]-F87</f>
        <v>6.1847114745769316</v>
      </c>
      <c r="I86" s="16">
        <f>MortalityTable[[#This Row],[Death]]/$F$4</f>
        <v>6.1847114745769314E-3</v>
      </c>
    </row>
    <row r="87" spans="3:9" hidden="1">
      <c r="D87" s="16"/>
      <c r="E87" s="16"/>
      <c r="F87" s="16"/>
      <c r="G87" s="16"/>
      <c r="H87" s="16"/>
      <c r="I87" s="16"/>
    </row>
  </sheetData>
  <mergeCells count="1">
    <mergeCell ref="C2:I2"/>
  </mergeCells>
  <pageMargins left="0.7" right="0.7" top="0.75" bottom="0.75" header="0.3" footer="0.3"/>
  <ignoredErrors>
    <ignoredError sqref="F4"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3954-0457-4B28-92BF-F96A1AD34744}">
  <dimension ref="B1:J87"/>
  <sheetViews>
    <sheetView showGridLines="0" zoomScaleNormal="100" workbookViewId="0">
      <selection activeCell="M3" sqref="M3"/>
    </sheetView>
  </sheetViews>
  <sheetFormatPr defaultRowHeight="15"/>
  <cols>
    <col min="2" max="2" width="14.5703125" style="22" bestFit="1" customWidth="1"/>
    <col min="3" max="3" width="8.28515625" customWidth="1"/>
    <col min="4" max="4" width="7.5703125" customWidth="1"/>
    <col min="5" max="5" width="8.7109375" customWidth="1"/>
    <col min="6" max="6" width="21.28515625" bestFit="1" customWidth="1"/>
    <col min="7" max="7" width="17" bestFit="1" customWidth="1"/>
    <col min="8" max="8" width="17" customWidth="1"/>
    <col min="9" max="9" width="16.140625" bestFit="1" customWidth="1"/>
    <col min="10" max="10" width="17.42578125" bestFit="1" customWidth="1"/>
  </cols>
  <sheetData>
    <row r="1" spans="2:10">
      <c r="B1"/>
    </row>
    <row r="2" spans="2:10">
      <c r="B2"/>
    </row>
    <row r="3" spans="2:10" ht="15.75" thickBot="1">
      <c r="B3" s="21" t="s">
        <v>19</v>
      </c>
      <c r="C3" s="21" t="s">
        <v>20</v>
      </c>
      <c r="D3" s="21" t="s">
        <v>15</v>
      </c>
      <c r="E3" s="21" t="s">
        <v>16</v>
      </c>
      <c r="F3" s="21" t="s">
        <v>21</v>
      </c>
      <c r="G3" s="21" t="s">
        <v>22</v>
      </c>
      <c r="H3" s="21" t="s">
        <v>102</v>
      </c>
      <c r="I3" s="21" t="s">
        <v>37</v>
      </c>
      <c r="J3" s="21" t="s">
        <v>23</v>
      </c>
    </row>
    <row r="4" spans="2:10">
      <c r="B4" s="23">
        <v>1</v>
      </c>
      <c r="C4" s="8">
        <f>Inputs!$D$7+B4-1</f>
        <v>40</v>
      </c>
      <c r="D4" s="9">
        <f>IF(Inputs!$D$9&gt;=Calculations!B4,INDEX(MortalityTable[qx],MATCH(C4,MortalityTable[Age]),0),0)</f>
        <v>9.3700000000000001E-4</v>
      </c>
      <c r="E4" s="9">
        <f>IF(Inputs!$D$9&gt;=Calculations!B4,1-D4,0)</f>
        <v>0.99906300000000003</v>
      </c>
      <c r="F4" s="9">
        <f>IF(Inputs!$D$9&gt;=Calculations!B4,1*D4,0)</f>
        <v>9.3700000000000001E-4</v>
      </c>
      <c r="G4" s="10">
        <f>IF(Inputs!$D$9&gt;=Calculations!B4,1/((1+Inputs!$D$12)^B4),0)</f>
        <v>0.95238095238095233</v>
      </c>
      <c r="H4" s="10">
        <f>IF(Inputs!$D$9&gt;=Calculations!B4,Inputs!$D$11*Table2[[#This Row],[Probability of Death]],0)</f>
        <v>93.7</v>
      </c>
      <c r="I4" s="14">
        <f>IF(Inputs!$D$9&gt;=Calculations!B4,F4*Inputs!$D$11*G4,0)</f>
        <v>89.238095238095241</v>
      </c>
      <c r="J4" s="14">
        <f>IF(Inputs!$D$9&gt;=Calculations!B4,SUM($I$4),0)</f>
        <v>89.238095238095241</v>
      </c>
    </row>
    <row r="5" spans="2:10">
      <c r="B5" s="23">
        <v>2</v>
      </c>
      <c r="C5" s="8">
        <f>Inputs!$D$7+B5-1</f>
        <v>41</v>
      </c>
      <c r="D5" s="9">
        <f>IF(Inputs!$D$9&gt;=Calculations!B5,INDEX(MortalityTable[qx],MATCH(C5,MortalityTable[Age]),0),0)</f>
        <v>1.0139999999999999E-3</v>
      </c>
      <c r="E5" s="9">
        <f>IF(Inputs!$D$9&gt;=Calculations!B5,E4-(E4*D5),0)</f>
        <v>0.99804995011800002</v>
      </c>
      <c r="F5" s="9">
        <f>IF(Inputs!$D$9&gt;=Calculations!B5,E4*D5,0)</f>
        <v>1.013049882E-3</v>
      </c>
      <c r="G5" s="10">
        <f>IF(Inputs!$D$9&gt;=Calculations!B5,1/((1+Inputs!$D$12)^B5),0)</f>
        <v>0.90702947845804982</v>
      </c>
      <c r="H5" s="10">
        <f>IF(Inputs!$D$9&gt;=Calculations!B5,Inputs!$D$11*Table2[[#This Row],[Probability of Death]],0)</f>
        <v>101.3049882</v>
      </c>
      <c r="I5" s="14">
        <f>IF(Inputs!$D$9&gt;=Calculations!B5,F5*Inputs!$D$11*G5,0)</f>
        <v>91.886610612244894</v>
      </c>
      <c r="J5" s="14">
        <f>IF(Inputs!$D$9&gt;=Calculations!B5,SUM($I$4:I5),0)</f>
        <v>181.12470585034015</v>
      </c>
    </row>
    <row r="6" spans="2:10">
      <c r="B6" s="23">
        <v>3</v>
      </c>
      <c r="C6" s="8">
        <f>Inputs!$D$7+B6-1</f>
        <v>42</v>
      </c>
      <c r="D6" s="9">
        <f>IF(Inputs!$D$9&gt;=Calculations!B6,INDEX(MortalityTable[qx],MATCH(C6,MortalityTable[Age]),0),0)</f>
        <v>1.1039999999999999E-3</v>
      </c>
      <c r="E6" s="9">
        <f>IF(Inputs!$D$9&gt;=Calculations!B6,E5-(E5*D6),0)</f>
        <v>0.99694810297306979</v>
      </c>
      <c r="F6" s="9">
        <f>IF(Inputs!$D$9&gt;=Calculations!B6,E5*D6,0)</f>
        <v>1.101847144930272E-3</v>
      </c>
      <c r="G6" s="10">
        <f>IF(Inputs!$D$9&gt;=Calculations!B6,1/((1+Inputs!$D$12)^B6),0)</f>
        <v>0.86383759853147601</v>
      </c>
      <c r="H6" s="10">
        <f>IF(Inputs!$D$9&gt;=Calculations!B6,Inputs!$D$11*Table2[[#This Row],[Probability of Death]],0)</f>
        <v>110.1847144930272</v>
      </c>
      <c r="I6" s="14">
        <f>IF(Inputs!$D$9&gt;=Calculations!B6,F6*Inputs!$D$11*G6,0)</f>
        <v>95.181699162532936</v>
      </c>
      <c r="J6" s="14">
        <f>IF(Inputs!$D$9&gt;=Calculations!B6,SUM($I$4:I6),0)</f>
        <v>276.30640501287309</v>
      </c>
    </row>
    <row r="7" spans="2:10">
      <c r="B7" s="23">
        <v>4</v>
      </c>
      <c r="C7" s="8">
        <f>Inputs!$D$7+B7-1</f>
        <v>43</v>
      </c>
      <c r="D7" s="9">
        <f>IF(Inputs!$D$9&gt;=Calculations!B7,INDEX(MortalityTable[qx],MATCH(C7,MortalityTable[Age]),0),0)</f>
        <v>1.2080000000000001E-3</v>
      </c>
      <c r="E7" s="9">
        <f>IF(Inputs!$D$9&gt;=Calculations!B7,E6-(E6*D7),0)</f>
        <v>0.99574378966467836</v>
      </c>
      <c r="F7" s="9">
        <f>IF(Inputs!$D$9&gt;=Calculations!B7,E6*D7,0)</f>
        <v>1.2043133083914684E-3</v>
      </c>
      <c r="G7" s="10">
        <f>IF(Inputs!$D$9&gt;=Calculations!B7,1/((1+Inputs!$D$12)^B7),0)</f>
        <v>0.82270247479188197</v>
      </c>
      <c r="H7" s="10">
        <f>IF(Inputs!$D$9&gt;=Calculations!B7,Inputs!$D$11*Table2[[#This Row],[Probability of Death]],0)</f>
        <v>120.43133083914684</v>
      </c>
      <c r="I7" s="14">
        <f>IF(Inputs!$D$9&gt;=Calculations!B7,F7*Inputs!$D$11*G7,0)</f>
        <v>99.079153923845993</v>
      </c>
      <c r="J7" s="14">
        <f>IF(Inputs!$D$9&gt;=Calculations!B7,SUM($I$4:I7),0)</f>
        <v>375.38555893671906</v>
      </c>
    </row>
    <row r="8" spans="2:10">
      <c r="B8" s="23">
        <v>5</v>
      </c>
      <c r="C8" s="8">
        <f>Inputs!$D$7+B8-1</f>
        <v>44</v>
      </c>
      <c r="D8" s="9">
        <f>IF(Inputs!$D$9&gt;=Calculations!B8,INDEX(MortalityTable[qx],MATCH(C8,MortalityTable[Age]),0),0)</f>
        <v>1.3270000000000001E-3</v>
      </c>
      <c r="E8" s="9">
        <f>IF(Inputs!$D$9&gt;=Calculations!B8,E7-(E7*D8),0)</f>
        <v>0.9944224376557933</v>
      </c>
      <c r="F8" s="9">
        <f>IF(Inputs!$D$9&gt;=Calculations!B8,E7*D8,0)</f>
        <v>1.3213520088850282E-3</v>
      </c>
      <c r="G8" s="10">
        <f>IF(Inputs!$D$9&gt;=Calculations!B8,1/((1+Inputs!$D$12)^B8),0)</f>
        <v>0.78352616646845896</v>
      </c>
      <c r="H8" s="10">
        <f>IF(Inputs!$D$9&gt;=Calculations!B8,Inputs!$D$11*Table2[[#This Row],[Probability of Death]],0)</f>
        <v>132.13520088850282</v>
      </c>
      <c r="I8" s="14">
        <f>IF(Inputs!$D$9&gt;=Calculations!B8,F8*Inputs!$D$11*G8,0)</f>
        <v>103.53138740770832</v>
      </c>
      <c r="J8" s="14">
        <f>IF(Inputs!$D$9&gt;=Calculations!B8,SUM($I$4:I8),0)</f>
        <v>478.9169463444274</v>
      </c>
    </row>
    <row r="9" spans="2:10">
      <c r="B9" s="23">
        <v>6</v>
      </c>
      <c r="C9" s="8">
        <f>Inputs!$D$7+B9-1</f>
        <v>45</v>
      </c>
      <c r="D9" s="9">
        <f>IF(Inputs!$D$9&gt;=Calculations!B9,INDEX(MortalityTable[qx],MATCH(C9,MortalityTable[Age]),0),0)</f>
        <v>1.4649999999999999E-3</v>
      </c>
      <c r="E9" s="9">
        <f>IF(Inputs!$D$9&gt;=Calculations!B9,E8-(E8*D9),0)</f>
        <v>0.99296560878462758</v>
      </c>
      <c r="F9" s="9">
        <f>IF(Inputs!$D$9&gt;=Calculations!B9,E8*D9,0)</f>
        <v>1.4568288711657371E-3</v>
      </c>
      <c r="G9" s="10">
        <f>IF(Inputs!$D$9&gt;=Calculations!B9,1/((1+Inputs!$D$12)^B9),0)</f>
        <v>0.74621539663662761</v>
      </c>
      <c r="H9" s="10">
        <f>IF(Inputs!$D$9&gt;=Calculations!B9,Inputs!$D$11*Table2[[#This Row],[Probability of Death]],0)</f>
        <v>145.68288711657371</v>
      </c>
      <c r="I9" s="14">
        <f>IF(Inputs!$D$9&gt;=Calculations!B9,F9*Inputs!$D$11*G9,0)</f>
        <v>108.7108133928631</v>
      </c>
      <c r="J9" s="14">
        <f>IF(Inputs!$D$9&gt;=Calculations!B9,SUM($I$4:I9),0)</f>
        <v>587.62775973729049</v>
      </c>
    </row>
    <row r="10" spans="2:10">
      <c r="B10" s="23">
        <v>7</v>
      </c>
      <c r="C10" s="8">
        <f>Inputs!$D$7+B10-1</f>
        <v>46</v>
      </c>
      <c r="D10" s="9">
        <f>IF(Inputs!$D$9&gt;=Calculations!B10,INDEX(MortalityTable[qx],MATCH(C10,MortalityTable[Age]),0),0)</f>
        <v>1.622E-3</v>
      </c>
      <c r="E10" s="9">
        <f>IF(Inputs!$D$9&gt;=Calculations!B10,E9-(E9*D10),0)</f>
        <v>0.99135501856717889</v>
      </c>
      <c r="F10" s="9">
        <f>IF(Inputs!$D$9&gt;=Calculations!B10,E9*D10,0)</f>
        <v>1.6105902174486659E-3</v>
      </c>
      <c r="G10" s="10">
        <f>IF(Inputs!$D$9&gt;=Calculations!B10,1/((1+Inputs!$D$12)^B10),0)</f>
        <v>0.71068133013012147</v>
      </c>
      <c r="H10" s="10">
        <f>IF(Inputs!$D$9&gt;=Calculations!B10,Inputs!$D$11*Table2[[#This Row],[Probability of Death]],0)</f>
        <v>161.05902174486658</v>
      </c>
      <c r="I10" s="14">
        <f>IF(Inputs!$D$9&gt;=Calculations!B10,F10*Inputs!$D$11*G10,0)</f>
        <v>114.46163980309794</v>
      </c>
      <c r="J10" s="14">
        <f>IF(Inputs!$D$9&gt;=Calculations!B10,SUM($I$4:I10),0)</f>
        <v>702.0893995403884</v>
      </c>
    </row>
    <row r="11" spans="2:10">
      <c r="B11" s="23">
        <v>8</v>
      </c>
      <c r="C11" s="8">
        <f>Inputs!$D$7+B11-1</f>
        <v>47</v>
      </c>
      <c r="D11" s="9">
        <f>IF(Inputs!$D$9&gt;=Calculations!B11,INDEX(MortalityTable[qx],MATCH(C11,MortalityTable[Age]),0),0)</f>
        <v>1.802E-3</v>
      </c>
      <c r="E11" s="9">
        <f>IF(Inputs!$D$9&gt;=Calculations!B11,E10-(E10*D11),0)</f>
        <v>0.98956859682372078</v>
      </c>
      <c r="F11" s="9">
        <f>IF(Inputs!$D$9&gt;=Calculations!B11,E10*D11,0)</f>
        <v>1.7864217434580565E-3</v>
      </c>
      <c r="G11" s="10">
        <f>IF(Inputs!$D$9&gt;=Calculations!B11,1/((1+Inputs!$D$12)^B11),0)</f>
        <v>0.67683936202868722</v>
      </c>
      <c r="H11" s="10">
        <f>IF(Inputs!$D$9&gt;=Calculations!B11,Inputs!$D$11*Table2[[#This Row],[Probability of Death]],0)</f>
        <v>178.64217434580564</v>
      </c>
      <c r="I11" s="14">
        <f>IF(Inputs!$D$9&gt;=Calculations!B11,F11*Inputs!$D$11*G11,0)</f>
        <v>120.9120553156326</v>
      </c>
      <c r="J11" s="14">
        <f>IF(Inputs!$D$9&gt;=Calculations!B11,SUM($I$4:I11),0)</f>
        <v>823.00145485602104</v>
      </c>
    </row>
    <row r="12" spans="2:10">
      <c r="B12" s="23">
        <v>9</v>
      </c>
      <c r="C12" s="8">
        <f>Inputs!$D$7+B12-1</f>
        <v>48</v>
      </c>
      <c r="D12" s="9">
        <f>IF(Inputs!$D$9&gt;=Calculations!B12,INDEX(MortalityTable[qx],MATCH(C12,MortalityTable[Age]),0),0)</f>
        <v>2.0079999999999998E-3</v>
      </c>
      <c r="E12" s="9">
        <f>IF(Inputs!$D$9&gt;=Calculations!B12,E11-(E11*D12),0)</f>
        <v>0.98758154308129875</v>
      </c>
      <c r="F12" s="9">
        <f>IF(Inputs!$D$9&gt;=Calculations!B12,E11*D12,0)</f>
        <v>1.9870537424220313E-3</v>
      </c>
      <c r="G12" s="10">
        <f>IF(Inputs!$D$9&gt;=Calculations!B12,1/((1+Inputs!$D$12)^B12),0)</f>
        <v>0.64460891621779726</v>
      </c>
      <c r="H12" s="10">
        <f>IF(Inputs!$D$9&gt;=Calculations!B12,Inputs!$D$11*Table2[[#This Row],[Probability of Death]],0)</f>
        <v>198.70537424220313</v>
      </c>
      <c r="I12" s="14">
        <f>IF(Inputs!$D$9&gt;=Calculations!B12,F12*Inputs!$D$11*G12,0)</f>
        <v>128.08725593691838</v>
      </c>
      <c r="J12" s="14">
        <f>IF(Inputs!$D$9&gt;=Calculations!B12,SUM($I$4:I12),0)</f>
        <v>951.08871079293942</v>
      </c>
    </row>
    <row r="13" spans="2:10">
      <c r="B13" s="23">
        <v>10</v>
      </c>
      <c r="C13" s="8">
        <f>Inputs!$D$7+B13-1</f>
        <v>49</v>
      </c>
      <c r="D13" s="9">
        <f>IF(Inputs!$D$9&gt;=Calculations!B13,INDEX(MortalityTable[qx],MATCH(C13,MortalityTable[Age]),0),0)</f>
        <v>2.2409999999999999E-3</v>
      </c>
      <c r="E13" s="9">
        <f>IF(Inputs!$D$9&gt;=Calculations!B13,E12-(E12*D13),0)</f>
        <v>0.98536837284325351</v>
      </c>
      <c r="F13" s="9">
        <f>IF(Inputs!$D$9&gt;=Calculations!B13,E12*D13,0)</f>
        <v>2.2131702380451903E-3</v>
      </c>
      <c r="G13" s="10">
        <f>IF(Inputs!$D$9&gt;=Calculations!B13,1/((1+Inputs!$D$12)^B13),0)</f>
        <v>0.61391325354075932</v>
      </c>
      <c r="H13" s="10">
        <f>IF(Inputs!$D$9&gt;=Calculations!B13,Inputs!$D$11*Table2[[#This Row],[Probability of Death]],0)</f>
        <v>221.31702380451904</v>
      </c>
      <c r="I13" s="14">
        <f>IF(Inputs!$D$9&gt;=Calculations!B13,F13*Inputs!$D$11*G13,0)</f>
        <v>135.86945414778995</v>
      </c>
      <c r="J13" s="14">
        <f>IF(Inputs!$D$9&gt;=Calculations!B13,SUM($I$4:I13),0)</f>
        <v>1086.9581649407294</v>
      </c>
    </row>
    <row r="14" spans="2:10">
      <c r="B14" s="23">
        <v>11</v>
      </c>
      <c r="C14" s="8">
        <f>Inputs!$D$7+B14-1</f>
        <v>50</v>
      </c>
      <c r="D14" s="9">
        <f>IF(Inputs!$D$9&gt;=Calculations!B14,INDEX(MortalityTable[qx],MATCH(C14,MortalityTable[Age]),0),0)</f>
        <v>2.5079999999999998E-3</v>
      </c>
      <c r="E14" s="9">
        <f>IF(Inputs!$D$9&gt;=Calculations!B14,E13-(E13*D14),0)</f>
        <v>0.98289706896416262</v>
      </c>
      <c r="F14" s="9">
        <f>IF(Inputs!$D$9&gt;=Calculations!B14,E13*D14,0)</f>
        <v>2.4713038790908797E-3</v>
      </c>
      <c r="G14" s="10">
        <f>IF(Inputs!$D$9&gt;=Calculations!B14,1/((1+Inputs!$D$12)^B14),0)</f>
        <v>0.5846792890864374</v>
      </c>
      <c r="H14" s="10">
        <f>IF(Inputs!$D$9&gt;=Calculations!B14,Inputs!$D$11*Table2[[#This Row],[Probability of Death]],0)</f>
        <v>247.13038790908797</v>
      </c>
      <c r="I14" s="14">
        <f>IF(Inputs!$D$9&gt;=Calculations!B14,F14*Inputs!$D$11*G14,0)</f>
        <v>144.49201951434105</v>
      </c>
      <c r="J14" s="14">
        <f>IF(Inputs!$D$9&gt;=Calculations!B14,SUM($I$4:I14),0)</f>
        <v>1231.4501844550705</v>
      </c>
    </row>
    <row r="15" spans="2:10">
      <c r="B15" s="23">
        <v>12</v>
      </c>
      <c r="C15" s="8">
        <f>Inputs!$D$7+B15-1</f>
        <v>51</v>
      </c>
      <c r="D15" s="9">
        <f>IF(Inputs!$D$9&gt;=Calculations!B15,INDEX(MortalityTable[qx],MATCH(C15,MortalityTable[Age]),0),0)</f>
        <v>2.8089999999999999E-3</v>
      </c>
      <c r="E15" s="9">
        <f>IF(Inputs!$D$9&gt;=Calculations!B15,E14-(E14*D15),0)</f>
        <v>0.98013611109744225</v>
      </c>
      <c r="F15" s="9">
        <f>IF(Inputs!$D$9&gt;=Calculations!B15,E14*D15,0)</f>
        <v>2.7609578667203327E-3</v>
      </c>
      <c r="G15" s="10">
        <f>IF(Inputs!$D$9&gt;=Calculations!B15,1/((1+Inputs!$D$12)^B15),0)</f>
        <v>0.5568374181775595</v>
      </c>
      <c r="H15" s="10">
        <f>IF(Inputs!$D$9&gt;=Calculations!B15,Inputs!$D$11*Table2[[#This Row],[Probability of Death]],0)</f>
        <v>276.09578667203328</v>
      </c>
      <c r="I15" s="14">
        <f>IF(Inputs!$D$9&gt;=Calculations!B15,F15*Inputs!$D$11*G15,0)</f>
        <v>153.74046502015725</v>
      </c>
      <c r="J15" s="14">
        <f>IF(Inputs!$D$9&gt;=Calculations!B15,SUM($I$4:I15),0)</f>
        <v>1385.1906494752277</v>
      </c>
    </row>
    <row r="16" spans="2:10">
      <c r="B16" s="23">
        <v>13</v>
      </c>
      <c r="C16" s="8">
        <f>Inputs!$D$7+B16-1</f>
        <v>52</v>
      </c>
      <c r="D16" s="9">
        <f>IF(Inputs!$D$9&gt;=Calculations!B16,INDEX(MortalityTable[qx],MATCH(C16,MortalityTable[Age]),0),0)</f>
        <v>3.1519999999999999E-3</v>
      </c>
      <c r="E16" s="9">
        <f>IF(Inputs!$D$9&gt;=Calculations!B16,E15-(E15*D16),0)</f>
        <v>0.97704672207526311</v>
      </c>
      <c r="F16" s="9">
        <f>IF(Inputs!$D$9&gt;=Calculations!B16,E15*D16,0)</f>
        <v>3.089389022179138E-3</v>
      </c>
      <c r="G16" s="10">
        <f>IF(Inputs!$D$9&gt;=Calculations!B16,1/((1+Inputs!$D$12)^B16),0)</f>
        <v>0.53032135064529462</v>
      </c>
      <c r="H16" s="10">
        <f>IF(Inputs!$D$9&gt;=Calculations!B16,Inputs!$D$11*Table2[[#This Row],[Probability of Death]],0)</f>
        <v>308.93890221791378</v>
      </c>
      <c r="I16" s="14">
        <f>IF(Inputs!$D$9&gt;=Calculations!B16,F16*Inputs!$D$11*G16,0)</f>
        <v>163.83689589107865</v>
      </c>
      <c r="J16" s="14">
        <f>IF(Inputs!$D$9&gt;=Calculations!B16,SUM($I$4:I16),0)</f>
        <v>1549.0275453663064</v>
      </c>
    </row>
    <row r="17" spans="2:10">
      <c r="B17" s="23">
        <v>14</v>
      </c>
      <c r="C17" s="8">
        <f>Inputs!$D$7+B17-1</f>
        <v>53</v>
      </c>
      <c r="D17" s="9">
        <f>IF(Inputs!$D$9&gt;=Calculations!B17,INDEX(MortalityTable[qx],MATCH(C17,MortalityTable[Age]),0),0)</f>
        <v>3.539E-3</v>
      </c>
      <c r="E17" s="9">
        <f>IF(Inputs!$D$9&gt;=Calculations!B17,E16-(E16*D17),0)</f>
        <v>0.97358895372583876</v>
      </c>
      <c r="F17" s="9">
        <f>IF(Inputs!$D$9&gt;=Calculations!B17,E16*D17,0)</f>
        <v>3.4577683494243562E-3</v>
      </c>
      <c r="G17" s="10">
        <f>IF(Inputs!$D$9&gt;=Calculations!B17,1/((1+Inputs!$D$12)^B17),0)</f>
        <v>0.50506795299551888</v>
      </c>
      <c r="H17" s="10">
        <f>IF(Inputs!$D$9&gt;=Calculations!B17,Inputs!$D$11*Table2[[#This Row],[Probability of Death]],0)</f>
        <v>345.77683494243564</v>
      </c>
      <c r="I17" s="14">
        <f>IF(Inputs!$D$9&gt;=Calculations!B17,F17*Inputs!$D$11*G17,0)</f>
        <v>174.64079821764537</v>
      </c>
      <c r="J17" s="14">
        <f>IF(Inputs!$D$9&gt;=Calculations!B17,SUM($I$4:I17),0)</f>
        <v>1723.6683435839518</v>
      </c>
    </row>
    <row r="18" spans="2:10">
      <c r="B18" s="23">
        <v>15</v>
      </c>
      <c r="C18" s="8">
        <f>Inputs!$D$7+B18-1</f>
        <v>54</v>
      </c>
      <c r="D18" s="9">
        <f>IF(Inputs!$D$9&gt;=Calculations!B18,INDEX(MortalityTable[qx],MATCH(C18,MortalityTable[Age]),0),0)</f>
        <v>3.9760000000000004E-3</v>
      </c>
      <c r="E18" s="9">
        <f>IF(Inputs!$D$9&gt;=Calculations!B18,E17-(E17*D18),0)</f>
        <v>0.96971796404582478</v>
      </c>
      <c r="F18" s="9">
        <f>IF(Inputs!$D$9&gt;=Calculations!B18,E17*D18,0)</f>
        <v>3.8709896800139354E-3</v>
      </c>
      <c r="G18" s="10">
        <f>IF(Inputs!$D$9&gt;=Calculations!B18,1/((1+Inputs!$D$12)^B18),0)</f>
        <v>0.48101709809097021</v>
      </c>
      <c r="H18" s="10">
        <f>IF(Inputs!$D$9&gt;=Calculations!B18,Inputs!$D$11*Table2[[#This Row],[Probability of Death]],0)</f>
        <v>387.09896800139353</v>
      </c>
      <c r="I18" s="14">
        <f>IF(Inputs!$D$9&gt;=Calculations!B18,F18*Inputs!$D$11*G18,0)</f>
        <v>186.20122226203964</v>
      </c>
      <c r="J18" s="14">
        <f>IF(Inputs!$D$9&gt;=Calculations!B18,SUM($I$4:I18),0)</f>
        <v>1909.8695658459915</v>
      </c>
    </row>
    <row r="19" spans="2:10">
      <c r="B19" s="23">
        <v>16</v>
      </c>
      <c r="C19" s="8">
        <f>Inputs!$D$7+B19-1</f>
        <v>55</v>
      </c>
      <c r="D19" s="9">
        <f>IF(Inputs!$D$9&gt;=Calculations!B19,INDEX(MortalityTable[qx],MATCH(C19,MortalityTable[Age]),0),0)</f>
        <v>4.4689999999999999E-3</v>
      </c>
      <c r="E19" s="9">
        <f>IF(Inputs!$D$9&gt;=Calculations!B19,E18-(E18*D19),0)</f>
        <v>0.96538429446450402</v>
      </c>
      <c r="F19" s="9">
        <f>IF(Inputs!$D$9&gt;=Calculations!B19,E18*D19,0)</f>
        <v>4.333669581320791E-3</v>
      </c>
      <c r="G19" s="10">
        <f>IF(Inputs!$D$9&gt;=Calculations!B19,1/((1+Inputs!$D$12)^B19),0)</f>
        <v>0.45811152199140021</v>
      </c>
      <c r="H19" s="10">
        <f>IF(Inputs!$D$9&gt;=Calculations!B19,Inputs!$D$11*Table2[[#This Row],[Probability of Death]],0)</f>
        <v>433.36695813207911</v>
      </c>
      <c r="I19" s="14">
        <f>IF(Inputs!$D$9&gt;=Calculations!B19,F19*Inputs!$D$11*G19,0)</f>
        <v>198.53039677067017</v>
      </c>
      <c r="J19" s="14">
        <f>IF(Inputs!$D$9&gt;=Calculations!B19,SUM($I$4:I19),0)</f>
        <v>2108.3999626166615</v>
      </c>
    </row>
    <row r="20" spans="2:10">
      <c r="B20" s="23">
        <v>17</v>
      </c>
      <c r="C20" s="8">
        <f>Inputs!$D$7+B20-1</f>
        <v>56</v>
      </c>
      <c r="D20" s="9">
        <f>IF(Inputs!$D$9&gt;=Calculations!B20,INDEX(MortalityTable[qx],MATCH(C20,MortalityTable[Age]),0),0)</f>
        <v>5.025E-3</v>
      </c>
      <c r="E20" s="9">
        <f>IF(Inputs!$D$9&gt;=Calculations!B20,E19-(E19*D20),0)</f>
        <v>0.96053323838481985</v>
      </c>
      <c r="F20" s="9">
        <f>IF(Inputs!$D$9&gt;=Calculations!B20,E19*D20,0)</f>
        <v>4.8510560796841328E-3</v>
      </c>
      <c r="G20" s="10">
        <f>IF(Inputs!$D$9&gt;=Calculations!B20,1/((1+Inputs!$D$12)^B20),0)</f>
        <v>0.43629668761085727</v>
      </c>
      <c r="H20" s="10">
        <f>IF(Inputs!$D$9&gt;=Calculations!B20,Inputs!$D$11*Table2[[#This Row],[Probability of Death]],0)</f>
        <v>485.10560796841327</v>
      </c>
      <c r="I20" s="14">
        <f>IF(Inputs!$D$9&gt;=Calculations!B20,F20*Inputs!$D$11*G20,0)</f>
        <v>211.6499698980698</v>
      </c>
      <c r="J20" s="14">
        <f>IF(Inputs!$D$9&gt;=Calculations!B20,SUM($I$4:I20),0)</f>
        <v>2320.0499325147312</v>
      </c>
    </row>
    <row r="21" spans="2:10">
      <c r="B21" s="23">
        <v>18</v>
      </c>
      <c r="C21" s="8">
        <f>Inputs!$D$7+B21-1</f>
        <v>57</v>
      </c>
      <c r="D21" s="9">
        <f>IF(Inputs!$D$9&gt;=Calculations!B21,INDEX(MortalityTable[qx],MATCH(C21,MortalityTable[Age]),0),0)</f>
        <v>5.6499999999999996E-3</v>
      </c>
      <c r="E21" s="9">
        <f>IF(Inputs!$D$9&gt;=Calculations!B21,E20-(E20*D21),0)</f>
        <v>0.95510622558794567</v>
      </c>
      <c r="F21" s="9">
        <f>IF(Inputs!$D$9&gt;=Calculations!B21,E20*D21,0)</f>
        <v>5.4270127968742317E-3</v>
      </c>
      <c r="G21" s="10">
        <f>IF(Inputs!$D$9&gt;=Calculations!B21,1/((1+Inputs!$D$12)^B21),0)</f>
        <v>0.41552065486748313</v>
      </c>
      <c r="H21" s="10">
        <f>IF(Inputs!$D$9&gt;=Calculations!B21,Inputs!$D$11*Table2[[#This Row],[Probability of Death]],0)</f>
        <v>542.70127968742315</v>
      </c>
      <c r="I21" s="14">
        <f>IF(Inputs!$D$9&gt;=Calculations!B21,F21*Inputs!$D$11*G21,0)</f>
        <v>225.5035911331392</v>
      </c>
      <c r="J21" s="14">
        <f>IF(Inputs!$D$9&gt;=Calculations!B21,SUM($I$4:I21),0)</f>
        <v>2545.5535236478704</v>
      </c>
    </row>
    <row r="22" spans="2:10">
      <c r="B22" s="23">
        <v>19</v>
      </c>
      <c r="C22" s="8">
        <f>Inputs!$D$7+B22-1</f>
        <v>58</v>
      </c>
      <c r="D22" s="9">
        <f>IF(Inputs!$D$9&gt;=Calculations!B22,INDEX(MortalityTable[qx],MATCH(C22,MortalityTable[Age]),0),0)</f>
        <v>6.352E-3</v>
      </c>
      <c r="E22" s="9">
        <f>IF(Inputs!$D$9&gt;=Calculations!B22,E21-(E21*D22),0)</f>
        <v>0.94903939084301103</v>
      </c>
      <c r="F22" s="9">
        <f>IF(Inputs!$D$9&gt;=Calculations!B22,E21*D22,0)</f>
        <v>6.0668347449346306E-3</v>
      </c>
      <c r="G22" s="10">
        <f>IF(Inputs!$D$9&gt;=Calculations!B22,1/((1+Inputs!$D$12)^B22),0)</f>
        <v>0.39573395701665059</v>
      </c>
      <c r="H22" s="10">
        <f>IF(Inputs!$D$9&gt;=Calculations!B22,Inputs!$D$11*Table2[[#This Row],[Probability of Death]],0)</f>
        <v>606.68347449346311</v>
      </c>
      <c r="I22" s="14">
        <f>IF(Inputs!$D$9&gt;=Calculations!B22,F22*Inputs!$D$11*G22,0)</f>
        <v>240.08525201790837</v>
      </c>
      <c r="J22" s="14">
        <f>IF(Inputs!$D$9&gt;=Calculations!B22,SUM($I$4:I22),0)</f>
        <v>2785.6387756657787</v>
      </c>
    </row>
    <row r="23" spans="2:10">
      <c r="B23" s="23">
        <v>20</v>
      </c>
      <c r="C23" s="8">
        <f>Inputs!$D$7+B23-1</f>
        <v>59</v>
      </c>
      <c r="D23" s="9">
        <f>IF(Inputs!$D$9&gt;=Calculations!B23,INDEX(MortalityTable[qx],MATCH(C23,MortalityTable[Age]),0),0)</f>
        <v>7.1399999999999996E-3</v>
      </c>
      <c r="E23" s="9">
        <f>IF(Inputs!$D$9&gt;=Calculations!B23,E22-(E22*D23),0)</f>
        <v>0.94226324959239194</v>
      </c>
      <c r="F23" s="9">
        <f>IF(Inputs!$D$9&gt;=Calculations!B23,E22*D23,0)</f>
        <v>6.7761412506190987E-3</v>
      </c>
      <c r="G23" s="10">
        <f>IF(Inputs!$D$9&gt;=Calculations!B23,1/((1+Inputs!$D$12)^B23),0)</f>
        <v>0.37688948287300061</v>
      </c>
      <c r="H23" s="10">
        <f>IF(Inputs!$D$9&gt;=Calculations!B23,Inputs!$D$11*Table2[[#This Row],[Probability of Death]],0)</f>
        <v>677.61412506190982</v>
      </c>
      <c r="I23" s="14">
        <f>IF(Inputs!$D$9&gt;=Calculations!B23,F23*Inputs!$D$11*G23,0)</f>
        <v>255.38563718202397</v>
      </c>
      <c r="J23" s="14">
        <f>IF(Inputs!$D$9&gt;=Calculations!B23,SUM($I$4:I23),0)</f>
        <v>3041.0244128478025</v>
      </c>
    </row>
    <row r="24" spans="2:10">
      <c r="B24" s="23">
        <v>21</v>
      </c>
      <c r="C24" s="8">
        <f>Inputs!$D$7+B24-1</f>
        <v>60</v>
      </c>
      <c r="D24" s="9">
        <f>IF(Inputs!$D$9&gt;=Calculations!B24,INDEX(MortalityTable[qx],MATCH(C24,MortalityTable[Age]),0),0)</f>
        <v>8.0219999999999996E-3</v>
      </c>
      <c r="E24" s="9">
        <f>IF(Inputs!$D$9&gt;=Calculations!B24,E23-(E23*D24),0)</f>
        <v>0.9347044138041618</v>
      </c>
      <c r="F24" s="9">
        <f>IF(Inputs!$D$9&gt;=Calculations!B24,E23*D24,0)</f>
        <v>7.5588357882301676E-3</v>
      </c>
      <c r="G24" s="10">
        <f>IF(Inputs!$D$9&gt;=Calculations!B24,1/((1+Inputs!$D$12)^B24),0)</f>
        <v>0.35894236464095297</v>
      </c>
      <c r="H24" s="10">
        <f>IF(Inputs!$D$9&gt;=Calculations!B24,Inputs!$D$11*Table2[[#This Row],[Probability of Death]],0)</f>
        <v>755.88357882301682</v>
      </c>
      <c r="I24" s="14">
        <f>IF(Inputs!$D$9&gt;=Calculations!B24,F24*Inputs!$D$11*G24,0)</f>
        <v>271.31863917599981</v>
      </c>
      <c r="J24" s="14">
        <f>IF(Inputs!$D$9&gt;=Calculations!B24,SUM($I$4:I24),0)</f>
        <v>3312.3430520238026</v>
      </c>
    </row>
    <row r="25" spans="2:10">
      <c r="B25" s="23">
        <v>22</v>
      </c>
      <c r="C25" s="8">
        <f>Inputs!$D$7+B25-1</f>
        <v>61</v>
      </c>
      <c r="D25" s="9">
        <f>IF(Inputs!$D$9&gt;=Calculations!B25,INDEX(MortalityTable[qx],MATCH(C25,MortalityTable[Age]),0),0)</f>
        <v>9.0089999999999996E-3</v>
      </c>
      <c r="E25" s="9">
        <f>IF(Inputs!$D$9&gt;=Calculations!B25,E24-(E24*D25),0)</f>
        <v>0.92628366174020016</v>
      </c>
      <c r="F25" s="9">
        <f>IF(Inputs!$D$9&gt;=Calculations!B25,E24*D25,0)</f>
        <v>8.4207520639616937E-3</v>
      </c>
      <c r="G25" s="10">
        <f>IF(Inputs!$D$9&gt;=Calculations!B25,1/((1+Inputs!$D$12)^B25),0)</f>
        <v>0.3418498710866219</v>
      </c>
      <c r="H25" s="10">
        <f>IF(Inputs!$D$9&gt;=Calculations!B25,Inputs!$D$11*Table2[[#This Row],[Probability of Death]],0)</f>
        <v>842.07520639616939</v>
      </c>
      <c r="I25" s="14">
        <f>IF(Inputs!$D$9&gt;=Calculations!B25,F25*Inputs!$D$11*G25,0)</f>
        <v>287.86330075177102</v>
      </c>
      <c r="J25" s="14">
        <f>IF(Inputs!$D$9&gt;=Calculations!B25,SUM($I$4:I25),0)</f>
        <v>3600.2063527755736</v>
      </c>
    </row>
    <row r="26" spans="2:10">
      <c r="B26" s="23">
        <v>23</v>
      </c>
      <c r="C26" s="8">
        <f>Inputs!$D$7+B26-1</f>
        <v>62</v>
      </c>
      <c r="D26" s="9">
        <f>IF(Inputs!$D$9&gt;=Calculations!B26,INDEX(MortalityTable[qx],MATCH(C26,MortalityTable[Age]),0),0)</f>
        <v>1.0111999999999999E-2</v>
      </c>
      <c r="E26" s="9">
        <f>IF(Inputs!$D$9&gt;=Calculations!B26,E25-(E25*D26),0)</f>
        <v>0.91691708135268324</v>
      </c>
      <c r="F26" s="9">
        <f>IF(Inputs!$D$9&gt;=Calculations!B26,E25*D26,0)</f>
        <v>9.3665803875169033E-3</v>
      </c>
      <c r="G26" s="10">
        <f>IF(Inputs!$D$9&gt;=Calculations!B26,1/((1+Inputs!$D$12)^B26),0)</f>
        <v>0.32557130579678267</v>
      </c>
      <c r="H26" s="10">
        <f>IF(Inputs!$D$9&gt;=Calculations!B26,Inputs!$D$11*Table2[[#This Row],[Probability of Death]],0)</f>
        <v>936.65803875169036</v>
      </c>
      <c r="I26" s="14">
        <f>IF(Inputs!$D$9&gt;=Calculations!B26,F26*Inputs!$D$11*G26,0)</f>
        <v>304.94898076144131</v>
      </c>
      <c r="J26" s="14">
        <f>IF(Inputs!$D$9&gt;=Calculations!B26,SUM($I$4:I26),0)</f>
        <v>3905.1553335370149</v>
      </c>
    </row>
    <row r="27" spans="2:10">
      <c r="B27" s="23">
        <v>24</v>
      </c>
      <c r="C27" s="8">
        <f>Inputs!$D$7+B27-1</f>
        <v>63</v>
      </c>
      <c r="D27" s="9">
        <f>IF(Inputs!$D$9&gt;=Calculations!B27,INDEX(MortalityTable[qx],MATCH(C27,MortalityTable[Age]),0),0)</f>
        <v>1.1344E-2</v>
      </c>
      <c r="E27" s="9">
        <f>IF(Inputs!$D$9&gt;=Calculations!B27,E26-(E26*D27),0)</f>
        <v>0.90651557398181837</v>
      </c>
      <c r="F27" s="9">
        <f>IF(Inputs!$D$9&gt;=Calculations!B27,E26*D27,0)</f>
        <v>1.0401507370864838E-2</v>
      </c>
      <c r="G27" s="10">
        <f>IF(Inputs!$D$9&gt;=Calculations!B27,1/((1+Inputs!$D$12)^B27),0)</f>
        <v>0.31006791028265024</v>
      </c>
      <c r="H27" s="10">
        <f>IF(Inputs!$D$9&gt;=Calculations!B27,Inputs!$D$11*Table2[[#This Row],[Probability of Death]],0)</f>
        <v>1040.1507370864838</v>
      </c>
      <c r="I27" s="14">
        <f>IF(Inputs!$D$9&gt;=Calculations!B27,F27*Inputs!$D$11*G27,0)</f>
        <v>322.51736542736438</v>
      </c>
      <c r="J27" s="14">
        <f>IF(Inputs!$D$9&gt;=Calculations!B27,SUM($I$4:I27),0)</f>
        <v>4227.6726989643794</v>
      </c>
    </row>
    <row r="28" spans="2:10">
      <c r="B28" s="23">
        <v>25</v>
      </c>
      <c r="C28" s="8">
        <f>Inputs!$D$7+B28-1</f>
        <v>64</v>
      </c>
      <c r="D28" s="9">
        <f>IF(Inputs!$D$9&gt;=Calculations!B28,INDEX(MortalityTable[qx],MATCH(C28,MortalityTable[Age]),0),0)</f>
        <v>1.2716E-2</v>
      </c>
      <c r="E28" s="9">
        <f>IF(Inputs!$D$9&gt;=Calculations!B28,E27-(E27*D28),0)</f>
        <v>0.89498832194306555</v>
      </c>
      <c r="F28" s="9">
        <f>IF(Inputs!$D$9&gt;=Calculations!B28,E27*D28,0)</f>
        <v>1.1527252038752803E-2</v>
      </c>
      <c r="G28" s="10">
        <f>IF(Inputs!$D$9&gt;=Calculations!B28,1/((1+Inputs!$D$12)^B28),0)</f>
        <v>0.29530277169776209</v>
      </c>
      <c r="H28" s="10">
        <f>IF(Inputs!$D$9&gt;=Calculations!B28,Inputs!$D$11*Table2[[#This Row],[Probability of Death]],0)</f>
        <v>1152.7252038752804</v>
      </c>
      <c r="I28" s="14">
        <f>IF(Inputs!$D$9&gt;=Calculations!B28,F28*Inputs!$D$11*G28,0)</f>
        <v>340.40294771023821</v>
      </c>
      <c r="J28" s="14">
        <f>IF(Inputs!$D$9&gt;=Calculations!B28,SUM($I$4:I28),0)</f>
        <v>4568.0756466746179</v>
      </c>
    </row>
    <row r="29" spans="2:10">
      <c r="B29" s="23">
        <v>26</v>
      </c>
      <c r="C29" s="8">
        <f>Inputs!$D$7+B29-1</f>
        <v>65</v>
      </c>
      <c r="D29" s="9">
        <f>IF(Inputs!$D$9&gt;=Calculations!B29,INDEX(MortalityTable[qx],MATCH(C29,MortalityTable[Age]),0),0)</f>
        <v>1.4243E-2</v>
      </c>
      <c r="E29" s="9">
        <f>IF(Inputs!$D$9&gt;=Calculations!B29,E28-(E28*D29),0)</f>
        <v>0.88224100327363042</v>
      </c>
      <c r="F29" s="9">
        <f>IF(Inputs!$D$9&gt;=Calculations!B29,E28*D29,0)</f>
        <v>1.2747318669435083E-2</v>
      </c>
      <c r="G29" s="10">
        <f>IF(Inputs!$D$9&gt;=Calculations!B29,1/((1+Inputs!$D$12)^B29),0)</f>
        <v>0.28124073495024959</v>
      </c>
      <c r="H29" s="10">
        <f>IF(Inputs!$D$9&gt;=Calculations!B29,Inputs!$D$11*Table2[[#This Row],[Probability of Death]],0)</f>
        <v>1274.7318669435083</v>
      </c>
      <c r="I29" s="14">
        <f>IF(Inputs!$D$9&gt;=Calculations!B29,F29*Inputs!$D$11*G29,0)</f>
        <v>358.50652712369606</v>
      </c>
      <c r="J29" s="14">
        <f>IF(Inputs!$D$9&gt;=Calculations!B29,SUM($I$4:I29),0)</f>
        <v>4926.5821737983142</v>
      </c>
    </row>
    <row r="30" spans="2:10">
      <c r="B30" s="23">
        <v>27</v>
      </c>
      <c r="C30" s="8">
        <f>Inputs!$D$7+B30-1</f>
        <v>66</v>
      </c>
      <c r="D30" s="9">
        <f>IF(Inputs!$D$9&gt;=Calculations!B30,INDEX(MortalityTable[qx],MATCH(C30,MortalityTable[Age]),0),0)</f>
        <v>1.5939999999999999E-2</v>
      </c>
      <c r="E30" s="9">
        <f>IF(Inputs!$D$9&gt;=Calculations!B30,E29-(E29*D30),0)</f>
        <v>0.86817808168144872</v>
      </c>
      <c r="F30" s="9">
        <f>IF(Inputs!$D$9&gt;=Calculations!B30,E29*D30,0)</f>
        <v>1.4062921592181669E-2</v>
      </c>
      <c r="G30" s="10">
        <f>IF(Inputs!$D$9&gt;=Calculations!B30,1/((1+Inputs!$D$12)^B30),0)</f>
        <v>0.2678483190002377</v>
      </c>
      <c r="H30" s="10">
        <f>IF(Inputs!$D$9&gt;=Calculations!B30,Inputs!$D$11*Table2[[#This Row],[Probability of Death]],0)</f>
        <v>1406.2921592181669</v>
      </c>
      <c r="I30" s="14">
        <f>IF(Inputs!$D$9&gt;=Calculations!B30,F30*Inputs!$D$11*G30,0)</f>
        <v>376.67299086980063</v>
      </c>
      <c r="J30" s="14">
        <f>IF(Inputs!$D$9&gt;=Calculations!B30,SUM($I$4:I30),0)</f>
        <v>5303.255164668115</v>
      </c>
    </row>
    <row r="31" spans="2:10">
      <c r="B31" s="23">
        <v>28</v>
      </c>
      <c r="C31" s="8">
        <f>Inputs!$D$7+B31-1</f>
        <v>67</v>
      </c>
      <c r="D31" s="9">
        <f>IF(Inputs!$D$9&gt;=Calculations!B31,INDEX(MortalityTable[qx],MATCH(C31,MortalityTable[Age]),0),0)</f>
        <v>1.7824E-2</v>
      </c>
      <c r="E31" s="9">
        <f>IF(Inputs!$D$9&gt;=Calculations!B31,E30-(E30*D31),0)</f>
        <v>0.85270367555355853</v>
      </c>
      <c r="F31" s="9">
        <f>IF(Inputs!$D$9&gt;=Calculations!B31,E30*D31,0)</f>
        <v>1.5474406127890141E-2</v>
      </c>
      <c r="G31" s="10">
        <f>IF(Inputs!$D$9&gt;=Calculations!B31,1/((1+Inputs!$D$12)^B31),0)</f>
        <v>0.25509363714308358</v>
      </c>
      <c r="H31" s="10">
        <f>IF(Inputs!$D$9&gt;=Calculations!B31,Inputs!$D$11*Table2[[#This Row],[Probability of Death]],0)</f>
        <v>1547.440612789014</v>
      </c>
      <c r="I31" s="14">
        <f>IF(Inputs!$D$9&gt;=Calculations!B31,F31*Inputs!$D$11*G31,0)</f>
        <v>394.74225417927164</v>
      </c>
      <c r="J31" s="14">
        <f>IF(Inputs!$D$9&gt;=Calculations!B31,SUM($I$4:I31),0)</f>
        <v>5697.9974188473861</v>
      </c>
    </row>
    <row r="32" spans="2:10">
      <c r="B32" s="23">
        <v>29</v>
      </c>
      <c r="C32" s="8">
        <f>Inputs!$D$7+B32-1</f>
        <v>68</v>
      </c>
      <c r="D32" s="9">
        <f>IF(Inputs!$D$9&gt;=Calculations!B32,INDEX(MortalityTable[qx],MATCH(C32,MortalityTable[Age]),0),0)</f>
        <v>1.9913E-2</v>
      </c>
      <c r="E32" s="9">
        <f>IF(Inputs!$D$9&gt;=Calculations!B32,E31-(E31*D32),0)</f>
        <v>0.83572378726226049</v>
      </c>
      <c r="F32" s="9">
        <f>IF(Inputs!$D$9&gt;=Calculations!B32,E31*D32,0)</f>
        <v>1.6979888291298012E-2</v>
      </c>
      <c r="G32" s="10">
        <f>IF(Inputs!$D$9&gt;=Calculations!B32,1/((1+Inputs!$D$12)^B32),0)</f>
        <v>0.24294632108865097</v>
      </c>
      <c r="H32" s="10">
        <f>IF(Inputs!$D$9&gt;=Calculations!B32,Inputs!$D$11*Table2[[#This Row],[Probability of Death]],0)</f>
        <v>1697.9888291298012</v>
      </c>
      <c r="I32" s="14">
        <f>IF(Inputs!$D$9&gt;=Calculations!B32,F32*Inputs!$D$11*G32,0)</f>
        <v>412.52013928671118</v>
      </c>
      <c r="J32" s="14">
        <f>IF(Inputs!$D$9&gt;=Calculations!B32,SUM($I$4:I32),0)</f>
        <v>6110.5175581340973</v>
      </c>
    </row>
    <row r="33" spans="2:10">
      <c r="B33" s="23">
        <v>30</v>
      </c>
      <c r="C33" s="8">
        <f>Inputs!$D$7+B33-1</f>
        <v>69</v>
      </c>
      <c r="D33" s="9">
        <f>IF(Inputs!$D$9&gt;=Calculations!B33,INDEX(MortalityTable[qx],MATCH(C33,MortalityTable[Age]),0),0)</f>
        <v>2.2225999999999999E-2</v>
      </c>
      <c r="E33" s="9">
        <f>IF(Inputs!$D$9&gt;=Calculations!B33,E32-(E32*D33),0)</f>
        <v>0.81714899036656952</v>
      </c>
      <c r="F33" s="9">
        <f>IF(Inputs!$D$9&gt;=Calculations!B33,E32*D33,0)</f>
        <v>1.8574796895691002E-2</v>
      </c>
      <c r="G33" s="10">
        <f>IF(Inputs!$D$9&gt;=Calculations!B33,1/((1+Inputs!$D$12)^B33),0)</f>
        <v>0.23137744865585813</v>
      </c>
      <c r="H33" s="10">
        <f>IF(Inputs!$D$9&gt;=Calculations!B33,Inputs!$D$11*Table2[[#This Row],[Probability of Death]],0)</f>
        <v>1857.4796895691002</v>
      </c>
      <c r="I33" s="14">
        <f>IF(Inputs!$D$9&gt;=Calculations!B33,F33*Inputs!$D$11*G33,0)</f>
        <v>429.77891150257375</v>
      </c>
      <c r="J33" s="14">
        <f>IF(Inputs!$D$9&gt;=Calculations!B33,SUM($I$4:I33),0)</f>
        <v>6540.2964696366707</v>
      </c>
    </row>
    <row r="34" spans="2:10">
      <c r="B34" s="23">
        <v>31</v>
      </c>
      <c r="C34" s="8">
        <f>Inputs!$D$7+B34-1</f>
        <v>70</v>
      </c>
      <c r="D34" s="9">
        <f>IF(Inputs!$D$9&gt;=Calculations!B34,INDEX(MortalityTable[qx],MATCH(C34,MortalityTable[Age]),0),0)</f>
        <v>0</v>
      </c>
      <c r="E34" s="9">
        <f>IF(Inputs!$D$9&gt;=Calculations!B34,E33-(E33*D34),0)</f>
        <v>0</v>
      </c>
      <c r="F34" s="9">
        <f>IF(Inputs!$D$9&gt;=Calculations!B34,E33*D34,0)</f>
        <v>0</v>
      </c>
      <c r="G34" s="10">
        <f>IF(Inputs!$D$9&gt;=Calculations!B34,1/((1+Inputs!$D$12)^B34),0)</f>
        <v>0</v>
      </c>
      <c r="H34" s="10">
        <f>IF(Inputs!$D$9&gt;=Calculations!B34,Inputs!$D$11*Table2[[#This Row],[Probability of Death]],0)</f>
        <v>0</v>
      </c>
      <c r="I34" s="14">
        <f>IF(Inputs!$D$9&gt;=Calculations!B34,F34*Inputs!$D$11*G34,0)</f>
        <v>0</v>
      </c>
      <c r="J34" s="14">
        <f>IF(Inputs!$D$9&gt;=Calculations!B34,SUM($I$4:I34),0)</f>
        <v>0</v>
      </c>
    </row>
    <row r="35" spans="2:10">
      <c r="B35" s="23">
        <v>32</v>
      </c>
      <c r="C35" s="8">
        <f>Inputs!$D$7+B35-1</f>
        <v>71</v>
      </c>
      <c r="D35" s="9">
        <f>IF(Inputs!$D$9&gt;=Calculations!B35,INDEX(MortalityTable[qx],MATCH(C35,MortalityTable[Age]),0),0)</f>
        <v>0</v>
      </c>
      <c r="E35" s="9">
        <f>IF(Inputs!$D$9&gt;=Calculations!B35,E34-(E34*D35),0)</f>
        <v>0</v>
      </c>
      <c r="F35" s="9">
        <f>IF(Inputs!$D$9&gt;=Calculations!B35,E34*D35,0)</f>
        <v>0</v>
      </c>
      <c r="G35" s="10">
        <f>IF(Inputs!$D$9&gt;=Calculations!B35,1/((1+Inputs!$D$12)^B35),0)</f>
        <v>0</v>
      </c>
      <c r="H35" s="10">
        <f>IF(Inputs!$D$9&gt;=Calculations!B35,Inputs!$D$11*Table2[[#This Row],[Probability of Death]],0)</f>
        <v>0</v>
      </c>
      <c r="I35" s="14">
        <f>IF(Inputs!$D$9&gt;=Calculations!B35,F35*Inputs!$D$11*G35,0)</f>
        <v>0</v>
      </c>
      <c r="J35" s="14">
        <f>IF(Inputs!$D$9&gt;=Calculations!B35,SUM($I$4:I35),0)</f>
        <v>0</v>
      </c>
    </row>
    <row r="36" spans="2:10">
      <c r="B36" s="23">
        <v>33</v>
      </c>
      <c r="C36" s="8">
        <f>Inputs!$D$7+B36-1</f>
        <v>72</v>
      </c>
      <c r="D36" s="9">
        <f>IF(Inputs!$D$9&gt;=Calculations!B36,INDEX(MortalityTable[qx],MATCH(C36,MortalityTable[Age]),0),0)</f>
        <v>0</v>
      </c>
      <c r="E36" s="9">
        <f>IF(Inputs!$D$9&gt;=Calculations!B36,E35-(E35*D36),0)</f>
        <v>0</v>
      </c>
      <c r="F36" s="9">
        <f>IF(Inputs!$D$9&gt;=Calculations!B36,E35*D36,0)</f>
        <v>0</v>
      </c>
      <c r="G36" s="10">
        <f>IF(Inputs!$D$9&gt;=Calculations!B36,1/((1+Inputs!$D$12)^B36),0)</f>
        <v>0</v>
      </c>
      <c r="H36" s="10">
        <f>IF(Inputs!$D$9&gt;=Calculations!B36,Inputs!$D$11*Table2[[#This Row],[Probability of Death]],0)</f>
        <v>0</v>
      </c>
      <c r="I36" s="14">
        <f>IF(Inputs!$D$9&gt;=Calculations!B36,F36*Inputs!$D$11*G36,0)</f>
        <v>0</v>
      </c>
      <c r="J36" s="14">
        <f>IF(Inputs!$D$9&gt;=Calculations!B36,SUM($I$4:I36),0)</f>
        <v>0</v>
      </c>
    </row>
    <row r="37" spans="2:10">
      <c r="B37" s="23">
        <v>34</v>
      </c>
      <c r="C37" s="8">
        <f>Inputs!$D$7+B37-1</f>
        <v>73</v>
      </c>
      <c r="D37" s="9">
        <f>IF(Inputs!$D$9&gt;=Calculations!B37,INDEX(MortalityTable[qx],MATCH(C37,MortalityTable[Age]),0),0)</f>
        <v>0</v>
      </c>
      <c r="E37" s="9">
        <f>IF(Inputs!$D$9&gt;=Calculations!B37,E36-(E36*D37),0)</f>
        <v>0</v>
      </c>
      <c r="F37" s="9">
        <f>IF(Inputs!$D$9&gt;=Calculations!B37,E36*D37,0)</f>
        <v>0</v>
      </c>
      <c r="G37" s="10">
        <f>IF(Inputs!$D$9&gt;=Calculations!B37,1/((1+Inputs!$D$12)^B37),0)</f>
        <v>0</v>
      </c>
      <c r="H37" s="10">
        <f>IF(Inputs!$D$9&gt;=Calculations!B37,Inputs!$D$11*Table2[[#This Row],[Probability of Death]],0)</f>
        <v>0</v>
      </c>
      <c r="I37" s="14">
        <f>IF(Inputs!$D$9&gt;=Calculations!B37,F37*Inputs!$D$11*G37,0)</f>
        <v>0</v>
      </c>
      <c r="J37" s="14">
        <f>IF(Inputs!$D$9&gt;=Calculations!B37,SUM($I$4:I37),0)</f>
        <v>0</v>
      </c>
    </row>
    <row r="38" spans="2:10">
      <c r="B38" s="23">
        <v>35</v>
      </c>
      <c r="C38" s="8">
        <f>Inputs!$D$7+B38-1</f>
        <v>74</v>
      </c>
      <c r="D38" s="9">
        <f>IF(Inputs!$D$9&gt;=Calculations!B38,INDEX(MortalityTable[qx],MATCH(C38,MortalityTable[Age]),0),0)</f>
        <v>0</v>
      </c>
      <c r="E38" s="9">
        <f>IF(Inputs!$D$9&gt;=Calculations!B38,E37-(E37*D38),0)</f>
        <v>0</v>
      </c>
      <c r="F38" s="9">
        <f>IF(Inputs!$D$9&gt;=Calculations!B38,E37*D38,0)</f>
        <v>0</v>
      </c>
      <c r="G38" s="10">
        <f>IF(Inputs!$D$9&gt;=Calculations!B38,1/((1+Inputs!$D$12)^B38),0)</f>
        <v>0</v>
      </c>
      <c r="H38" s="10">
        <f>IF(Inputs!$D$9&gt;=Calculations!B38,Inputs!$D$11*Table2[[#This Row],[Probability of Death]],0)</f>
        <v>0</v>
      </c>
      <c r="I38" s="14">
        <f>IF(Inputs!$D$9&gt;=Calculations!B38,F38*Inputs!$D$11*G38,0)</f>
        <v>0</v>
      </c>
      <c r="J38" s="14">
        <f>IF(Inputs!$D$9&gt;=Calculations!B38,SUM($I$4:I38),0)</f>
        <v>0</v>
      </c>
    </row>
    <row r="39" spans="2:10">
      <c r="B39" s="23">
        <v>36</v>
      </c>
      <c r="C39" s="8">
        <f>Inputs!$D$7+B39-1</f>
        <v>75</v>
      </c>
      <c r="D39" s="9">
        <f>IF(Inputs!$D$9&gt;=Calculations!B39,INDEX(MortalityTable[qx],MATCH(C39,MortalityTable[Age]),0),0)</f>
        <v>0</v>
      </c>
      <c r="E39" s="9">
        <f>IF(Inputs!$D$9&gt;=Calculations!B39,E38-(E38*D39),0)</f>
        <v>0</v>
      </c>
      <c r="F39" s="9">
        <f>IF(Inputs!$D$9&gt;=Calculations!B39,E38*D39,0)</f>
        <v>0</v>
      </c>
      <c r="G39" s="10">
        <f>IF(Inputs!$D$9&gt;=Calculations!B39,1/((1+Inputs!$D$12)^B39),0)</f>
        <v>0</v>
      </c>
      <c r="H39" s="10">
        <f>IF(Inputs!$D$9&gt;=Calculations!B39,Inputs!$D$11*Table2[[#This Row],[Probability of Death]],0)</f>
        <v>0</v>
      </c>
      <c r="I39" s="14">
        <f>IF(Inputs!$D$9&gt;=Calculations!B39,F39*Inputs!$D$11*G39,0)</f>
        <v>0</v>
      </c>
      <c r="J39" s="14">
        <f>IF(Inputs!$D$9&gt;=Calculations!B39,SUM($I$4:I39),0)</f>
        <v>0</v>
      </c>
    </row>
    <row r="40" spans="2:10">
      <c r="B40" s="23">
        <v>37</v>
      </c>
      <c r="C40" s="8">
        <f>Inputs!$D$7+B40-1</f>
        <v>76</v>
      </c>
      <c r="D40" s="9">
        <f>IF(Inputs!$D$9&gt;=Calculations!B40,INDEX(MortalityTable[qx],MATCH(C40,MortalityTable[Age]),0),0)</f>
        <v>0</v>
      </c>
      <c r="E40" s="9">
        <f>IF(Inputs!$D$9&gt;=Calculations!B40,E39-(E39*D40),0)</f>
        <v>0</v>
      </c>
      <c r="F40" s="9">
        <f>IF(Inputs!$D$9&gt;=Calculations!B40,E39*D40,0)</f>
        <v>0</v>
      </c>
      <c r="G40" s="10">
        <f>IF(Inputs!$D$9&gt;=Calculations!B40,1/((1+Inputs!$D$12)^B40),0)</f>
        <v>0</v>
      </c>
      <c r="H40" s="10">
        <f>IF(Inputs!$D$9&gt;=Calculations!B40,Inputs!$D$11*Table2[[#This Row],[Probability of Death]],0)</f>
        <v>0</v>
      </c>
      <c r="I40" s="14">
        <f>IF(Inputs!$D$9&gt;=Calculations!B40,F40*Inputs!$D$11*G40,0)</f>
        <v>0</v>
      </c>
      <c r="J40" s="14">
        <f>IF(Inputs!$D$9&gt;=Calculations!B40,SUM($I$4:I40),0)</f>
        <v>0</v>
      </c>
    </row>
    <row r="41" spans="2:10">
      <c r="B41" s="23">
        <v>38</v>
      </c>
      <c r="C41" s="8">
        <f>Inputs!$D$7+B41-1</f>
        <v>77</v>
      </c>
      <c r="D41" s="9">
        <f>IF(Inputs!$D$9&gt;=Calculations!B41,INDEX(MortalityTable[qx],MATCH(C41,MortalityTable[Age]),0),0)</f>
        <v>0</v>
      </c>
      <c r="E41" s="9">
        <f>IF(Inputs!$D$9&gt;=Calculations!B41,E40-(E40*D41),0)</f>
        <v>0</v>
      </c>
      <c r="F41" s="9">
        <f>IF(Inputs!$D$9&gt;=Calculations!B41,E40*D41,0)</f>
        <v>0</v>
      </c>
      <c r="G41" s="10">
        <f>IF(Inputs!$D$9&gt;=Calculations!B41,1/((1+Inputs!$D$12)^B41),0)</f>
        <v>0</v>
      </c>
      <c r="H41" s="10">
        <f>IF(Inputs!$D$9&gt;=Calculations!B41,Inputs!$D$11*Table2[[#This Row],[Probability of Death]],0)</f>
        <v>0</v>
      </c>
      <c r="I41" s="14">
        <f>IF(Inputs!$D$9&gt;=Calculations!B41,F41*Inputs!$D$11*G41,0)</f>
        <v>0</v>
      </c>
      <c r="J41" s="14">
        <f>IF(Inputs!$D$9&gt;=Calculations!B41,SUM($I$4:I41),0)</f>
        <v>0</v>
      </c>
    </row>
    <row r="42" spans="2:10">
      <c r="B42" s="23">
        <v>39</v>
      </c>
      <c r="C42" s="8">
        <f>Inputs!$D$7+B42-1</f>
        <v>78</v>
      </c>
      <c r="D42" s="9">
        <f>IF(Inputs!$D$9&gt;=Calculations!B42,INDEX(MortalityTable[qx],MATCH(C42,MortalityTable[Age]),0),0)</f>
        <v>0</v>
      </c>
      <c r="E42" s="9">
        <f>IF(Inputs!$D$9&gt;=Calculations!B42,E41-(E41*D42),0)</f>
        <v>0</v>
      </c>
      <c r="F42" s="9">
        <f>IF(Inputs!$D$9&gt;=Calculations!B42,E41*D42,0)</f>
        <v>0</v>
      </c>
      <c r="G42" s="10">
        <f>IF(Inputs!$D$9&gt;=Calculations!B42,1/((1+Inputs!$D$12)^B42),0)</f>
        <v>0</v>
      </c>
      <c r="H42" s="10">
        <f>IF(Inputs!$D$9&gt;=Calculations!B42,Inputs!$D$11*Table2[[#This Row],[Probability of Death]],0)</f>
        <v>0</v>
      </c>
      <c r="I42" s="14">
        <f>IF(Inputs!$D$9&gt;=Calculations!B42,F42*Inputs!$D$11*G42,0)</f>
        <v>0</v>
      </c>
      <c r="J42" s="14">
        <f>IF(Inputs!$D$9&gt;=Calculations!B42,SUM($I$4:I42),0)</f>
        <v>0</v>
      </c>
    </row>
    <row r="43" spans="2:10">
      <c r="B43" s="23">
        <v>40</v>
      </c>
      <c r="C43" s="8">
        <f>Inputs!$D$7+B43-1</f>
        <v>79</v>
      </c>
      <c r="D43" s="9">
        <f>IF(Inputs!$D$9&gt;=Calculations!B43,INDEX(MortalityTable[qx],MATCH(C43,MortalityTable[Age]),0),0)</f>
        <v>0</v>
      </c>
      <c r="E43" s="9">
        <f>IF(Inputs!$D$9&gt;=Calculations!B43,E42-(E42*D43),0)</f>
        <v>0</v>
      </c>
      <c r="F43" s="9">
        <f>IF(Inputs!$D$9&gt;=Calculations!B43,E42*D43,0)</f>
        <v>0</v>
      </c>
      <c r="G43" s="10">
        <f>IF(Inputs!$D$9&gt;=Calculations!B43,1/((1+Inputs!$D$12)^B43),0)</f>
        <v>0</v>
      </c>
      <c r="H43" s="10">
        <f>IF(Inputs!$D$9&gt;=Calculations!B43,Inputs!$D$11*Table2[[#This Row],[Probability of Death]],0)</f>
        <v>0</v>
      </c>
      <c r="I43" s="14">
        <f>IF(Inputs!$D$9&gt;=Calculations!B43,F43*Inputs!$D$11*G43,0)</f>
        <v>0</v>
      </c>
      <c r="J43" s="14">
        <f>IF(Inputs!$D$9&gt;=Calculations!B43,SUM($I$4:I43),0)</f>
        <v>0</v>
      </c>
    </row>
    <row r="44" spans="2:10">
      <c r="B44" s="23">
        <v>41</v>
      </c>
      <c r="C44" s="8">
        <f>Inputs!$D$7+B44-1</f>
        <v>80</v>
      </c>
      <c r="D44" s="9">
        <f>IF(Inputs!$D$9&gt;=Calculations!B44,INDEX(MortalityTable[qx],MATCH(C44,MortalityTable[Age]),0),0)</f>
        <v>0</v>
      </c>
      <c r="E44" s="9">
        <f>IF(Inputs!$D$9&gt;=Calculations!B44,E43-(E43*D44),0)</f>
        <v>0</v>
      </c>
      <c r="F44" s="9">
        <f>IF(Inputs!$D$9&gt;=Calculations!B44,E43*D44,0)</f>
        <v>0</v>
      </c>
      <c r="G44" s="10">
        <f>IF(Inputs!$D$9&gt;=Calculations!B44,1/((1+Inputs!$D$12)^B44),0)</f>
        <v>0</v>
      </c>
      <c r="H44" s="10">
        <f>IF(Inputs!$D$9&gt;=Calculations!B44,Inputs!$D$11*Table2[[#This Row],[Probability of Death]],0)</f>
        <v>0</v>
      </c>
      <c r="I44" s="14">
        <f>IF(Inputs!$D$9&gt;=Calculations!B44,F44*Inputs!$D$11*G44,0)</f>
        <v>0</v>
      </c>
      <c r="J44" s="14">
        <f>IF(Inputs!$D$9&gt;=Calculations!B44,SUM($I$4:I44),0)</f>
        <v>0</v>
      </c>
    </row>
    <row r="45" spans="2:10">
      <c r="B45" s="23">
        <v>42</v>
      </c>
      <c r="C45" s="8">
        <f>Inputs!$D$7+B45-1</f>
        <v>81</v>
      </c>
      <c r="D45" s="9">
        <f>IF(Inputs!$D$9&gt;=Calculations!B45,INDEX(MortalityTable[qx],MATCH(C45,MortalityTable[Age]),0),0)</f>
        <v>0</v>
      </c>
      <c r="E45" s="9">
        <f>IF(Inputs!$D$9&gt;=Calculations!B45,E44-(E44*D45),0)</f>
        <v>0</v>
      </c>
      <c r="F45" s="9">
        <f>IF(Inputs!$D$9&gt;=Calculations!B45,E44*D45,0)</f>
        <v>0</v>
      </c>
      <c r="G45" s="10">
        <f>IF(Inputs!$D$9&gt;=Calculations!B45,1/((1+Inputs!$D$12)^B45),0)</f>
        <v>0</v>
      </c>
      <c r="H45" s="10">
        <f>IF(Inputs!$D$9&gt;=Calculations!B45,Inputs!$D$11*Table2[[#This Row],[Probability of Death]],0)</f>
        <v>0</v>
      </c>
      <c r="I45" s="14">
        <f>IF(Inputs!$D$9&gt;=Calculations!B45,F45*Inputs!$D$11*G45,0)</f>
        <v>0</v>
      </c>
      <c r="J45" s="14">
        <f>IF(Inputs!$D$9&gt;=Calculations!B45,SUM($I$4:I45),0)</f>
        <v>0</v>
      </c>
    </row>
    <row r="46" spans="2:10">
      <c r="B46" s="23">
        <v>43</v>
      </c>
      <c r="C46" s="8">
        <f>Inputs!$D$7+B46-1</f>
        <v>82</v>
      </c>
      <c r="D46" s="9">
        <f>IF(Inputs!$D$9&gt;=Calculations!B46,INDEX(MortalityTable[qx],MATCH(C46,MortalityTable[Age]),0),0)</f>
        <v>0</v>
      </c>
      <c r="E46" s="9">
        <f>IF(Inputs!$D$9&gt;=Calculations!B46,E45-(E45*D46),0)</f>
        <v>0</v>
      </c>
      <c r="F46" s="9">
        <f>IF(Inputs!$D$9&gt;=Calculations!B46,E45*D46,0)</f>
        <v>0</v>
      </c>
      <c r="G46" s="10">
        <f>IF(Inputs!$D$9&gt;=Calculations!B46,1/((1+Inputs!$D$12)^B46),0)</f>
        <v>0</v>
      </c>
      <c r="H46" s="10">
        <f>IF(Inputs!$D$9&gt;=Calculations!B46,Inputs!$D$11*Table2[[#This Row],[Probability of Death]],0)</f>
        <v>0</v>
      </c>
      <c r="I46" s="14">
        <f>IF(Inputs!$D$9&gt;=Calculations!B46,F46*Inputs!$D$11*G46,0)</f>
        <v>0</v>
      </c>
      <c r="J46" s="14">
        <f>IF(Inputs!$D$9&gt;=Calculations!B46,SUM($I$4:I46),0)</f>
        <v>0</v>
      </c>
    </row>
    <row r="47" spans="2:10">
      <c r="B47" s="23">
        <v>44</v>
      </c>
      <c r="C47" s="8">
        <f>Inputs!$D$7+B47-1</f>
        <v>83</v>
      </c>
      <c r="D47" s="9">
        <f>IF(Inputs!$D$9&gt;=Calculations!B47,INDEX(MortalityTable[qx],MATCH(C47,MortalityTable[Age]),0),0)</f>
        <v>0</v>
      </c>
      <c r="E47" s="9">
        <f>IF(Inputs!$D$9&gt;=Calculations!B47,E46-(E46*D47),0)</f>
        <v>0</v>
      </c>
      <c r="F47" s="9">
        <f>IF(Inputs!$D$9&gt;=Calculations!B47,E46*D47,0)</f>
        <v>0</v>
      </c>
      <c r="G47" s="10">
        <f>IF(Inputs!$D$9&gt;=Calculations!B47,1/((1+Inputs!$D$12)^B47),0)</f>
        <v>0</v>
      </c>
      <c r="H47" s="10">
        <f>IF(Inputs!$D$9&gt;=Calculations!B47,Inputs!$D$11*Table2[[#This Row],[Probability of Death]],0)</f>
        <v>0</v>
      </c>
      <c r="I47" s="14">
        <f>IF(Inputs!$D$9&gt;=Calculations!B47,F47*Inputs!$D$11*G47,0)</f>
        <v>0</v>
      </c>
      <c r="J47" s="14">
        <f>IF(Inputs!$D$9&gt;=Calculations!B47,SUM($I$4:I47),0)</f>
        <v>0</v>
      </c>
    </row>
    <row r="48" spans="2:10">
      <c r="B48" s="23">
        <v>45</v>
      </c>
      <c r="C48" s="8">
        <f>Inputs!$D$7+B48-1</f>
        <v>84</v>
      </c>
      <c r="D48" s="9">
        <f>IF(Inputs!$D$9&gt;=Calculations!B48,INDEX(MortalityTable[qx],MATCH(C48,MortalityTable[Age]),0),0)</f>
        <v>0</v>
      </c>
      <c r="E48" s="9">
        <f>IF(Inputs!$D$9&gt;=Calculations!B48,E47-(E47*D48),0)</f>
        <v>0</v>
      </c>
      <c r="F48" s="9">
        <f>IF(Inputs!$D$9&gt;=Calculations!B48,E47*D48,0)</f>
        <v>0</v>
      </c>
      <c r="G48" s="10">
        <f>IF(Inputs!$D$9&gt;=Calculations!B48,1/((1+Inputs!$D$12)^B48),0)</f>
        <v>0</v>
      </c>
      <c r="H48" s="10">
        <f>IF(Inputs!$D$9&gt;=Calculations!B48,Inputs!$D$11*Table2[[#This Row],[Probability of Death]],0)</f>
        <v>0</v>
      </c>
      <c r="I48" s="14">
        <f>IF(Inputs!$D$9&gt;=Calculations!B48,F48*Inputs!$D$11*G48,0)</f>
        <v>0</v>
      </c>
      <c r="J48" s="14">
        <f>IF(Inputs!$D$9&gt;=Calculations!B48,SUM($I$4:I48),0)</f>
        <v>0</v>
      </c>
    </row>
    <row r="49" spans="2:10">
      <c r="B49" s="23">
        <v>46</v>
      </c>
      <c r="C49" s="8">
        <f>Inputs!$D$7+B49-1</f>
        <v>85</v>
      </c>
      <c r="D49" s="9">
        <f>IF(Inputs!$D$9&gt;=Calculations!B49,INDEX(MortalityTable[qx],MATCH(C49,MortalityTable[Age]),0),0)</f>
        <v>0</v>
      </c>
      <c r="E49" s="9">
        <f>IF(Inputs!$D$9&gt;=Calculations!B49,E48-(E48*D49),0)</f>
        <v>0</v>
      </c>
      <c r="F49" s="9">
        <f>IF(Inputs!$D$9&gt;=Calculations!B49,E48*D49,0)</f>
        <v>0</v>
      </c>
      <c r="G49" s="10">
        <f>IF(Inputs!$D$9&gt;=Calculations!B49,1/((1+Inputs!$D$12)^B49),0)</f>
        <v>0</v>
      </c>
      <c r="H49" s="10">
        <f>IF(Inputs!$D$9&gt;=Calculations!B49,Inputs!$D$11*Table2[[#This Row],[Probability of Death]],0)</f>
        <v>0</v>
      </c>
      <c r="I49" s="14">
        <f>IF(Inputs!$D$9&gt;=Calculations!B49,F49*Inputs!$D$11*G49,0)</f>
        <v>0</v>
      </c>
      <c r="J49" s="14">
        <f>IF(Inputs!$D$9&gt;=Calculations!B49,SUM($I$4:I49),0)</f>
        <v>0</v>
      </c>
    </row>
    <row r="50" spans="2:10">
      <c r="B50" s="23">
        <v>47</v>
      </c>
      <c r="C50" s="8">
        <f>Inputs!$D$7+B50-1</f>
        <v>86</v>
      </c>
      <c r="D50" s="9">
        <f>IF(Inputs!$D$9&gt;=Calculations!B50,INDEX(MortalityTable[qx],MATCH(C50,MortalityTable[Age]),0),0)</f>
        <v>0</v>
      </c>
      <c r="E50" s="9">
        <f>IF(Inputs!$D$9&gt;=Calculations!B50,E49-(E49*D50),0)</f>
        <v>0</v>
      </c>
      <c r="F50" s="9">
        <f>IF(Inputs!$D$9&gt;=Calculations!B50,E49*D50,0)</f>
        <v>0</v>
      </c>
      <c r="G50" s="10">
        <f>IF(Inputs!$D$9&gt;=Calculations!B50,1/((1+Inputs!$D$12)^B50),0)</f>
        <v>0</v>
      </c>
      <c r="H50" s="10">
        <f>IF(Inputs!$D$9&gt;=Calculations!B50,Inputs!$D$11*Table2[[#This Row],[Probability of Death]],0)</f>
        <v>0</v>
      </c>
      <c r="I50" s="14">
        <f>IF(Inputs!$D$9&gt;=Calculations!B50,F50*Inputs!$D$11*G50,0)</f>
        <v>0</v>
      </c>
      <c r="J50" s="14">
        <f>IF(Inputs!$D$9&gt;=Calculations!B50,SUM($I$4:I50),0)</f>
        <v>0</v>
      </c>
    </row>
    <row r="51" spans="2:10">
      <c r="B51" s="23">
        <v>48</v>
      </c>
      <c r="C51" s="8">
        <f>Inputs!$D$7+B51-1</f>
        <v>87</v>
      </c>
      <c r="D51" s="9">
        <f>IF(Inputs!$D$9&gt;=Calculations!B51,INDEX(MortalityTable[qx],MATCH(C51,MortalityTable[Age]),0),0)</f>
        <v>0</v>
      </c>
      <c r="E51" s="9">
        <f>IF(Inputs!$D$9&gt;=Calculations!B51,E50-(E50*D51),0)</f>
        <v>0</v>
      </c>
      <c r="F51" s="9">
        <f>IF(Inputs!$D$9&gt;=Calculations!B51,E50*D51,0)</f>
        <v>0</v>
      </c>
      <c r="G51" s="10">
        <f>IF(Inputs!$D$9&gt;=Calculations!B51,1/((1+Inputs!$D$12)^B51),0)</f>
        <v>0</v>
      </c>
      <c r="H51" s="10">
        <f>IF(Inputs!$D$9&gt;=Calculations!B51,Inputs!$D$11*Table2[[#This Row],[Probability of Death]],0)</f>
        <v>0</v>
      </c>
      <c r="I51" s="14">
        <f>IF(Inputs!$D$9&gt;=Calculations!B51,F51*Inputs!$D$11*G51,0)</f>
        <v>0</v>
      </c>
      <c r="J51" s="14">
        <f>IF(Inputs!$D$9&gt;=Calculations!B51,SUM($I$4:I51),0)</f>
        <v>0</v>
      </c>
    </row>
    <row r="52" spans="2:10">
      <c r="B52" s="23">
        <v>49</v>
      </c>
      <c r="C52" s="8">
        <f>Inputs!$D$7+B52-1</f>
        <v>88</v>
      </c>
      <c r="D52" s="9">
        <f>IF(Inputs!$D$9&gt;=Calculations!B52,INDEX(MortalityTable[qx],MATCH(C52,MortalityTable[Age]),0),0)</f>
        <v>0</v>
      </c>
      <c r="E52" s="9">
        <f>IF(Inputs!$D$9&gt;=Calculations!B52,E51-(E51*D52),0)</f>
        <v>0</v>
      </c>
      <c r="F52" s="9">
        <f>IF(Inputs!$D$9&gt;=Calculations!B52,E51*D52,0)</f>
        <v>0</v>
      </c>
      <c r="G52" s="10">
        <f>IF(Inputs!$D$9&gt;=Calculations!B52,1/((1+Inputs!$D$12)^B52),0)</f>
        <v>0</v>
      </c>
      <c r="H52" s="10">
        <f>IF(Inputs!$D$9&gt;=Calculations!B52,Inputs!$D$11*Table2[[#This Row],[Probability of Death]],0)</f>
        <v>0</v>
      </c>
      <c r="I52" s="14">
        <f>IF(Inputs!$D$9&gt;=Calculations!B52,F52*Inputs!$D$11*G52,0)</f>
        <v>0</v>
      </c>
      <c r="J52" s="14">
        <f>IF(Inputs!$D$9&gt;=Calculations!B52,SUM($I$4:I52),0)</f>
        <v>0</v>
      </c>
    </row>
    <row r="53" spans="2:10">
      <c r="B53" s="23">
        <v>50</v>
      </c>
      <c r="C53" s="8">
        <f>Inputs!$D$7+B53-1</f>
        <v>89</v>
      </c>
      <c r="D53" s="9">
        <f>IF(Inputs!$D$9&gt;=Calculations!B53,INDEX(MortalityTable[qx],MATCH(C53,MortalityTable[Age]),0),0)</f>
        <v>0</v>
      </c>
      <c r="E53" s="9">
        <f>IF(Inputs!$D$9&gt;=Calculations!B53,E52-(E52*D53),0)</f>
        <v>0</v>
      </c>
      <c r="F53" s="9">
        <f>IF(Inputs!$D$9&gt;=Calculations!B53,E52*D53,0)</f>
        <v>0</v>
      </c>
      <c r="G53" s="10">
        <f>IF(Inputs!$D$9&gt;=Calculations!B53,1/((1+Inputs!$D$12)^B53),0)</f>
        <v>0</v>
      </c>
      <c r="H53" s="10">
        <f>IF(Inputs!$D$9&gt;=Calculations!B53,Inputs!$D$11*Table2[[#This Row],[Probability of Death]],0)</f>
        <v>0</v>
      </c>
      <c r="I53" s="14">
        <f>IF(Inputs!$D$9&gt;=Calculations!B53,F53*Inputs!$D$11*G53,0)</f>
        <v>0</v>
      </c>
      <c r="J53" s="14">
        <f>IF(Inputs!$D$9&gt;=Calculations!B53,SUM($I$4:I53),0)</f>
        <v>0</v>
      </c>
    </row>
    <row r="54" spans="2:10">
      <c r="B54" s="23">
        <v>51</v>
      </c>
      <c r="C54" s="8">
        <f>Inputs!$D$7+B54-1</f>
        <v>90</v>
      </c>
      <c r="D54" s="9">
        <f>IF(Inputs!$D$9&gt;=Calculations!B54,INDEX(MortalityTable[qx],MATCH(C54,MortalityTable[Age]),0),0)</f>
        <v>0</v>
      </c>
      <c r="E54" s="9">
        <f>IF(Inputs!$D$9&gt;=Calculations!B54,E53-(E53*D54),0)</f>
        <v>0</v>
      </c>
      <c r="F54" s="9">
        <f>IF(Inputs!$D$9&gt;=Calculations!B54,E53*D54,0)</f>
        <v>0</v>
      </c>
      <c r="G54" s="10">
        <f>IF(Inputs!$D$9&gt;=Calculations!B54,1/((1+Inputs!$D$12)^B54),0)</f>
        <v>0</v>
      </c>
      <c r="H54" s="10">
        <f>IF(Inputs!$D$9&gt;=Calculations!B54,Inputs!$D$11*Table2[[#This Row],[Probability of Death]],0)</f>
        <v>0</v>
      </c>
      <c r="I54" s="14">
        <f>IF(Inputs!$D$9&gt;=Calculations!B54,F54*Inputs!$D$11*G54,0)</f>
        <v>0</v>
      </c>
      <c r="J54" s="14">
        <f>IF(Inputs!$D$9&gt;=Calculations!B54,SUM($I$4:I54),0)</f>
        <v>0</v>
      </c>
    </row>
    <row r="55" spans="2:10">
      <c r="B55" s="23">
        <v>52</v>
      </c>
      <c r="C55" s="8">
        <f>Inputs!$D$7+B55-1</f>
        <v>91</v>
      </c>
      <c r="D55" s="9">
        <f>IF(Inputs!$D$9&gt;=Calculations!B55,INDEX(MortalityTable[qx],MATCH(C55,MortalityTable[Age]),0),0)</f>
        <v>0</v>
      </c>
      <c r="E55" s="9">
        <f>IF(Inputs!$D$9&gt;=Calculations!B55,E54-(E54*D55),0)</f>
        <v>0</v>
      </c>
      <c r="F55" s="9">
        <f>IF(Inputs!$D$9&gt;=Calculations!B55,E54*D55,0)</f>
        <v>0</v>
      </c>
      <c r="G55" s="10">
        <f>IF(Inputs!$D$9&gt;=Calculations!B55,1/((1+Inputs!$D$12)^B55),0)</f>
        <v>0</v>
      </c>
      <c r="H55" s="10">
        <f>IF(Inputs!$D$9&gt;=Calculations!B55,Inputs!$D$11*Table2[[#This Row],[Probability of Death]],0)</f>
        <v>0</v>
      </c>
      <c r="I55" s="14">
        <f>IF(Inputs!$D$9&gt;=Calculations!B55,F55*Inputs!$D$11*G55,0)</f>
        <v>0</v>
      </c>
      <c r="J55" s="14">
        <f>IF(Inputs!$D$9&gt;=Calculations!B55,SUM($I$4:I55),0)</f>
        <v>0</v>
      </c>
    </row>
    <row r="56" spans="2:10">
      <c r="B56" s="23">
        <v>53</v>
      </c>
      <c r="C56" s="8">
        <f>Inputs!$D$7+B56-1</f>
        <v>92</v>
      </c>
      <c r="D56" s="9">
        <f>IF(Inputs!$D$9&gt;=Calculations!B56,INDEX(MortalityTable[qx],MATCH(C56,MortalityTable[Age]),0),0)</f>
        <v>0</v>
      </c>
      <c r="E56" s="9">
        <f>IF(Inputs!$D$9&gt;=Calculations!B56,E55-(E55*D56),0)</f>
        <v>0</v>
      </c>
      <c r="F56" s="9">
        <f>IF(Inputs!$D$9&gt;=Calculations!B56,E55*D56,0)</f>
        <v>0</v>
      </c>
      <c r="G56" s="10">
        <f>IF(Inputs!$D$9&gt;=Calculations!B56,1/((1+Inputs!$D$12)^B56),0)</f>
        <v>0</v>
      </c>
      <c r="H56" s="10">
        <f>IF(Inputs!$D$9&gt;=Calculations!B56,Inputs!$D$11*Table2[[#This Row],[Probability of Death]],0)</f>
        <v>0</v>
      </c>
      <c r="I56" s="14">
        <f>IF(Inputs!$D$9&gt;=Calculations!B56,F56*Inputs!$D$11*G56,0)</f>
        <v>0</v>
      </c>
      <c r="J56" s="14">
        <f>IF(Inputs!$D$9&gt;=Calculations!B56,SUM($I$4:I56),0)</f>
        <v>0</v>
      </c>
    </row>
    <row r="57" spans="2:10">
      <c r="B57" s="23">
        <v>54</v>
      </c>
      <c r="C57" s="8">
        <f>Inputs!$D$7+B57-1</f>
        <v>93</v>
      </c>
      <c r="D57" s="9">
        <f>IF(Inputs!$D$9&gt;=Calculations!B57,INDEX(MortalityTable[qx],MATCH(C57,MortalityTable[Age]),0),0)</f>
        <v>0</v>
      </c>
      <c r="E57" s="9">
        <f>IF(Inputs!$D$9&gt;=Calculations!B57,E56-(E56*D57),0)</f>
        <v>0</v>
      </c>
      <c r="F57" s="9">
        <f>IF(Inputs!$D$9&gt;=Calculations!B57,E56*D57,0)</f>
        <v>0</v>
      </c>
      <c r="G57" s="10">
        <f>IF(Inputs!$D$9&gt;=Calculations!B57,1/((1+Inputs!$D$12)^B57),0)</f>
        <v>0</v>
      </c>
      <c r="H57" s="10">
        <f>IF(Inputs!$D$9&gt;=Calculations!B57,Inputs!$D$11*Table2[[#This Row],[Probability of Death]],0)</f>
        <v>0</v>
      </c>
      <c r="I57" s="14">
        <f>IF(Inputs!$D$9&gt;=Calculations!B57,F57*Inputs!$D$11*G57,0)</f>
        <v>0</v>
      </c>
      <c r="J57" s="14">
        <f>IF(Inputs!$D$9&gt;=Calculations!B57,SUM($I$4:I57),0)</f>
        <v>0</v>
      </c>
    </row>
    <row r="58" spans="2:10">
      <c r="B58" s="23">
        <v>55</v>
      </c>
      <c r="C58" s="8">
        <f>Inputs!$D$7+B58-1</f>
        <v>94</v>
      </c>
      <c r="D58" s="9">
        <f>IF(Inputs!$D$9&gt;=Calculations!B58,INDEX(MortalityTable[qx],MATCH(C58,MortalityTable[Age]),0),0)</f>
        <v>0</v>
      </c>
      <c r="E58" s="9">
        <f>IF(Inputs!$D$9&gt;=Calculations!B58,E57-(E57*D58),0)</f>
        <v>0</v>
      </c>
      <c r="F58" s="9">
        <f>IF(Inputs!$D$9&gt;=Calculations!B58,E57*D58,0)</f>
        <v>0</v>
      </c>
      <c r="G58" s="10">
        <f>IF(Inputs!$D$9&gt;=Calculations!B58,1/((1+Inputs!$D$12)^B58),0)</f>
        <v>0</v>
      </c>
      <c r="H58" s="10">
        <f>IF(Inputs!$D$9&gt;=Calculations!B58,Inputs!$D$11*Table2[[#This Row],[Probability of Death]],0)</f>
        <v>0</v>
      </c>
      <c r="I58" s="14">
        <f>IF(Inputs!$D$9&gt;=Calculations!B58,F58*Inputs!$D$11*G58,0)</f>
        <v>0</v>
      </c>
      <c r="J58" s="14">
        <f>IF(Inputs!$D$9&gt;=Calculations!B58,SUM($I$4:I58),0)</f>
        <v>0</v>
      </c>
    </row>
    <row r="59" spans="2:10">
      <c r="B59" s="23">
        <v>56</v>
      </c>
      <c r="C59" s="8">
        <f>Inputs!$D$7+B59-1</f>
        <v>95</v>
      </c>
      <c r="D59" s="9">
        <f>IF(Inputs!$D$9&gt;=Calculations!B59,INDEX(MortalityTable[qx],MATCH(C59,MortalityTable[Age]),0),0)</f>
        <v>0</v>
      </c>
      <c r="E59" s="9">
        <f>IF(Inputs!$D$9&gt;=Calculations!B59,E58-(E58*D59),0)</f>
        <v>0</v>
      </c>
      <c r="F59" s="9">
        <f>IF(Inputs!$D$9&gt;=Calculations!B59,E58*D59,0)</f>
        <v>0</v>
      </c>
      <c r="G59" s="10">
        <f>IF(Inputs!$D$9&gt;=Calculations!B59,1/((1+Inputs!$D$12)^B59),0)</f>
        <v>0</v>
      </c>
      <c r="H59" s="10">
        <f>IF(Inputs!$D$9&gt;=Calculations!B59,Inputs!$D$11*Table2[[#This Row],[Probability of Death]],0)</f>
        <v>0</v>
      </c>
      <c r="I59" s="14">
        <f>IF(Inputs!$D$9&gt;=Calculations!B59,F59*Inputs!$D$11*G59,0)</f>
        <v>0</v>
      </c>
      <c r="J59" s="14">
        <f>IF(Inputs!$D$9&gt;=Calculations!B59,SUM($I$4:I59),0)</f>
        <v>0</v>
      </c>
    </row>
    <row r="60" spans="2:10">
      <c r="B60" s="23">
        <v>57</v>
      </c>
      <c r="C60" s="8">
        <f>Inputs!$D$7+B60-1</f>
        <v>96</v>
      </c>
      <c r="D60" s="9">
        <f>IF(Inputs!$D$9&gt;=Calculations!B60,INDEX(MortalityTable[qx],MATCH(C60,MortalityTable[Age]),0),0)</f>
        <v>0</v>
      </c>
      <c r="E60" s="9">
        <f>IF(Inputs!$D$9&gt;=Calculations!B60,E59-(E59*D60),0)</f>
        <v>0</v>
      </c>
      <c r="F60" s="9">
        <f>IF(Inputs!$D$9&gt;=Calculations!B60,E59*D60,0)</f>
        <v>0</v>
      </c>
      <c r="G60" s="10">
        <f>IF(Inputs!$D$9&gt;=Calculations!B60,1/((1+Inputs!$D$12)^B60),0)</f>
        <v>0</v>
      </c>
      <c r="H60" s="10">
        <f>IF(Inputs!$D$9&gt;=Calculations!B60,Inputs!$D$11*Table2[[#This Row],[Probability of Death]],0)</f>
        <v>0</v>
      </c>
      <c r="I60" s="14">
        <f>IF(Inputs!$D$9&gt;=Calculations!B60,F60*Inputs!$D$11*G60,0)</f>
        <v>0</v>
      </c>
      <c r="J60" s="14">
        <f>IF(Inputs!$D$9&gt;=Calculations!B60,SUM($I$4:I60),0)</f>
        <v>0</v>
      </c>
    </row>
    <row r="61" spans="2:10">
      <c r="B61" s="23">
        <v>58</v>
      </c>
      <c r="C61" s="8">
        <f>Inputs!$D$7+B61-1</f>
        <v>97</v>
      </c>
      <c r="D61" s="9">
        <f>IF(Inputs!$D$9&gt;=Calculations!B61,INDEX(MortalityTable[qx],MATCH(C61,MortalityTable[Age]),0),0)</f>
        <v>0</v>
      </c>
      <c r="E61" s="9">
        <f>IF(Inputs!$D$9&gt;=Calculations!B61,E60-(E60*D61),0)</f>
        <v>0</v>
      </c>
      <c r="F61" s="9">
        <f>IF(Inputs!$D$9&gt;=Calculations!B61,E60*D61,0)</f>
        <v>0</v>
      </c>
      <c r="G61" s="10">
        <f>IF(Inputs!$D$9&gt;=Calculations!B61,1/((1+Inputs!$D$12)^B61),0)</f>
        <v>0</v>
      </c>
      <c r="H61" s="10">
        <f>IF(Inputs!$D$9&gt;=Calculations!B61,Inputs!$D$11*Table2[[#This Row],[Probability of Death]],0)</f>
        <v>0</v>
      </c>
      <c r="I61" s="14">
        <f>IF(Inputs!$D$9&gt;=Calculations!B61,F61*Inputs!$D$11*G61,0)</f>
        <v>0</v>
      </c>
      <c r="J61" s="14">
        <f>IF(Inputs!$D$9&gt;=Calculations!B61,SUM($I$4:I61),0)</f>
        <v>0</v>
      </c>
    </row>
    <row r="62" spans="2:10">
      <c r="B62" s="23">
        <v>59</v>
      </c>
      <c r="C62" s="8">
        <f>Inputs!$D$7+B62-1</f>
        <v>98</v>
      </c>
      <c r="D62" s="9">
        <f>IF(Inputs!$D$9&gt;=Calculations!B62,INDEX(MortalityTable[qx],MATCH(C62,MortalityTable[Age]),0),0)</f>
        <v>0</v>
      </c>
      <c r="E62" s="9">
        <f>IF(Inputs!$D$9&gt;=Calculations!B62,E61-(E61*D62),0)</f>
        <v>0</v>
      </c>
      <c r="F62" s="9">
        <f>IF(Inputs!$D$9&gt;=Calculations!B62,E61*D62,0)</f>
        <v>0</v>
      </c>
      <c r="G62" s="10">
        <f>IF(Inputs!$D$9&gt;=Calculations!B62,1/((1+Inputs!$D$12)^B62),0)</f>
        <v>0</v>
      </c>
      <c r="H62" s="10">
        <f>IF(Inputs!$D$9&gt;=Calculations!B62,Inputs!$D$11*Table2[[#This Row],[Probability of Death]],0)</f>
        <v>0</v>
      </c>
      <c r="I62" s="14">
        <f>IF(Inputs!$D$9&gt;=Calculations!B62,F62*Inputs!$D$11*G62,0)</f>
        <v>0</v>
      </c>
      <c r="J62" s="14">
        <f>IF(Inputs!$D$9&gt;=Calculations!B62,SUM($I$4:I62),0)</f>
        <v>0</v>
      </c>
    </row>
    <row r="63" spans="2:10">
      <c r="B63" s="23">
        <v>60</v>
      </c>
      <c r="C63" s="8">
        <f>Inputs!$D$7+B63-1</f>
        <v>99</v>
      </c>
      <c r="D63" s="9">
        <f>IF(Inputs!$D$9&gt;=Calculations!B63,INDEX(MortalityTable[qx],MATCH(C63,MortalityTable[Age]),0),0)</f>
        <v>0</v>
      </c>
      <c r="E63" s="9">
        <f>IF(Inputs!$D$9&gt;=Calculations!B63,E62-(E62*D63),0)</f>
        <v>0</v>
      </c>
      <c r="F63" s="9">
        <f>IF(Inputs!$D$9&gt;=Calculations!B63,E62*D63,0)</f>
        <v>0</v>
      </c>
      <c r="G63" s="10">
        <f>IF(Inputs!$D$9&gt;=Calculations!B63,1/((1+Inputs!$D$12)^B63),0)</f>
        <v>0</v>
      </c>
      <c r="H63" s="10">
        <f>IF(Inputs!$D$9&gt;=Calculations!B63,Inputs!$D$11*Table2[[#This Row],[Probability of Death]],0)</f>
        <v>0</v>
      </c>
      <c r="I63" s="14">
        <f>IF(Inputs!$D$9&gt;=Calculations!B63,F63*Inputs!$D$11*G63,0)</f>
        <v>0</v>
      </c>
      <c r="J63" s="14">
        <f>IF(Inputs!$D$9&gt;=Calculations!B63,SUM($I$4:I63),0)</f>
        <v>0</v>
      </c>
    </row>
    <row r="64" spans="2:10">
      <c r="B64" s="23">
        <v>61</v>
      </c>
      <c r="C64" s="8">
        <f>Inputs!$D$7+B64-1</f>
        <v>100</v>
      </c>
      <c r="D64" s="9">
        <f>IF(Inputs!$D$9&gt;=Calculations!B64,INDEX(MortalityTable[qx],MATCH(C64,MortalityTable[Age]),0),0)</f>
        <v>0</v>
      </c>
      <c r="E64" s="9">
        <f>IF(Inputs!$D$9&gt;=Calculations!B64,E63-(E63*D64),0)</f>
        <v>0</v>
      </c>
      <c r="F64" s="9">
        <f>IF(Inputs!$D$9&gt;=Calculations!B64,E63*D64,0)</f>
        <v>0</v>
      </c>
      <c r="G64" s="10">
        <f>IF(Inputs!$D$9&gt;=Calculations!B64,1/((1+Inputs!$D$12)^B64),0)</f>
        <v>0</v>
      </c>
      <c r="H64" s="10">
        <f>IF(Inputs!$D$9&gt;=Calculations!B64,Inputs!$D$11*Table2[[#This Row],[Probability of Death]],0)</f>
        <v>0</v>
      </c>
      <c r="I64" s="14">
        <f>IF(Inputs!$D$9&gt;=Calculations!B64,F64*Inputs!$D$11*G64,0)</f>
        <v>0</v>
      </c>
      <c r="J64" s="14">
        <f>IF(Inputs!$D$9&gt;=Calculations!B64,SUM($I$4:I64),0)</f>
        <v>0</v>
      </c>
    </row>
    <row r="65" spans="2:10">
      <c r="B65" s="23">
        <v>62</v>
      </c>
      <c r="C65" s="8">
        <f>Inputs!$D$7+B65-1</f>
        <v>101</v>
      </c>
      <c r="D65" s="9">
        <f>IF(Inputs!$D$9&gt;=Calculations!B65,INDEX(MortalityTable[qx],MATCH(C65,MortalityTable[Age]),0),0)</f>
        <v>0</v>
      </c>
      <c r="E65" s="9">
        <f>IF(Inputs!$D$9&gt;=Calculations!B65,E64-(E64*D65),0)</f>
        <v>0</v>
      </c>
      <c r="F65" s="9">
        <f>IF(Inputs!$D$9&gt;=Calculations!B65,E64*D65,0)</f>
        <v>0</v>
      </c>
      <c r="G65" s="10">
        <f>IF(Inputs!$D$9&gt;=Calculations!B65,1/((1+Inputs!$D$12)^B65),0)</f>
        <v>0</v>
      </c>
      <c r="H65" s="10">
        <f>IF(Inputs!$D$9&gt;=Calculations!B65,Inputs!$D$11*Table2[[#This Row],[Probability of Death]],0)</f>
        <v>0</v>
      </c>
      <c r="I65" s="14">
        <f>IF(Inputs!$D$9&gt;=Calculations!B65,F65*Inputs!$D$11*G65,0)</f>
        <v>0</v>
      </c>
      <c r="J65" s="14">
        <f>IF(Inputs!$D$9&gt;=Calculations!B65,SUM($I$4:I65),0)</f>
        <v>0</v>
      </c>
    </row>
    <row r="66" spans="2:10">
      <c r="B66" s="23">
        <v>63</v>
      </c>
      <c r="C66" s="8">
        <f>Inputs!$D$7+B66-1</f>
        <v>102</v>
      </c>
      <c r="D66" s="9">
        <f>IF(Inputs!$D$9&gt;=Calculations!B66,INDEX(MortalityTable[qx],MATCH(C66,MortalityTable[Age]),0),0)</f>
        <v>0</v>
      </c>
      <c r="E66" s="9">
        <f>IF(Inputs!$D$9&gt;=Calculations!B66,E65-(E65*D66),0)</f>
        <v>0</v>
      </c>
      <c r="F66" s="9">
        <f>IF(Inputs!$D$9&gt;=Calculations!B66,E65*D66,0)</f>
        <v>0</v>
      </c>
      <c r="G66" s="10">
        <f>IF(Inputs!$D$9&gt;=Calculations!B66,1/((1+Inputs!$D$12)^B66),0)</f>
        <v>0</v>
      </c>
      <c r="H66" s="10">
        <f>IF(Inputs!$D$9&gt;=Calculations!B66,Inputs!$D$11*Table2[[#This Row],[Probability of Death]],0)</f>
        <v>0</v>
      </c>
      <c r="I66" s="14">
        <f>IF(Inputs!$D$9&gt;=Calculations!B66,F66*Inputs!$D$11*G66,0)</f>
        <v>0</v>
      </c>
      <c r="J66" s="14">
        <f>IF(Inputs!$D$9&gt;=Calculations!B66,SUM($I$4:I66),0)</f>
        <v>0</v>
      </c>
    </row>
    <row r="67" spans="2:10">
      <c r="B67" s="23">
        <v>64</v>
      </c>
      <c r="C67" s="8">
        <f>Inputs!$D$7+B67-1</f>
        <v>103</v>
      </c>
      <c r="D67" s="9">
        <f>IF(Inputs!$D$9&gt;=Calculations!B67,INDEX(MortalityTable[qx],MATCH(C67,MortalityTable[Age]),0),0)</f>
        <v>0</v>
      </c>
      <c r="E67" s="9">
        <f>IF(Inputs!$D$9&gt;=Calculations!B67,E66-(E66*D67),0)</f>
        <v>0</v>
      </c>
      <c r="F67" s="9">
        <f>IF(Inputs!$D$9&gt;=Calculations!B67,E66*D67,0)</f>
        <v>0</v>
      </c>
      <c r="G67" s="10">
        <f>IF(Inputs!$D$9&gt;=Calculations!B67,1/((1+Inputs!$D$12)^B67),0)</f>
        <v>0</v>
      </c>
      <c r="H67" s="10">
        <f>IF(Inputs!$D$9&gt;=Calculations!B67,Inputs!$D$11*Table2[[#This Row],[Probability of Death]],0)</f>
        <v>0</v>
      </c>
      <c r="I67" s="14">
        <f>IF(Inputs!$D$9&gt;=Calculations!B67,F67*Inputs!$D$11*G67,0)</f>
        <v>0</v>
      </c>
      <c r="J67" s="14">
        <f>IF(Inputs!$D$9&gt;=Calculations!B67,SUM($I$4:I67),0)</f>
        <v>0</v>
      </c>
    </row>
    <row r="68" spans="2:10">
      <c r="B68" s="23">
        <v>65</v>
      </c>
      <c r="C68" s="8">
        <f>Inputs!$D$7+B68-1</f>
        <v>104</v>
      </c>
      <c r="D68" s="9">
        <f>IF(Inputs!$D$9&gt;=Calculations!B68,INDEX(MortalityTable[qx],MATCH(C68,MortalityTable[Age]),0),0)</f>
        <v>0</v>
      </c>
      <c r="E68" s="9">
        <f>IF(Inputs!$D$9&gt;=Calculations!B68,E67-(E67*D68),0)</f>
        <v>0</v>
      </c>
      <c r="F68" s="9">
        <f>IF(Inputs!$D$9&gt;=Calculations!B68,E67*D68,0)</f>
        <v>0</v>
      </c>
      <c r="G68" s="10">
        <f>IF(Inputs!$D$9&gt;=Calculations!B68,1/((1+Inputs!$D$12)^B68),0)</f>
        <v>0</v>
      </c>
      <c r="H68" s="10">
        <f>IF(Inputs!$D$9&gt;=Calculations!B68,Inputs!$D$11*Table2[[#This Row],[Probability of Death]],0)</f>
        <v>0</v>
      </c>
      <c r="I68" s="14">
        <f>IF(Inputs!$D$9&gt;=Calculations!B68,F68*Inputs!$D$11*G68,0)</f>
        <v>0</v>
      </c>
      <c r="J68" s="14">
        <f>IF(Inputs!$D$9&gt;=Calculations!B68,SUM($I$4:I68),0)</f>
        <v>0</v>
      </c>
    </row>
    <row r="69" spans="2:10">
      <c r="B69" s="23">
        <v>66</v>
      </c>
      <c r="C69" s="8">
        <f>Inputs!$D$7+B69-1</f>
        <v>105</v>
      </c>
      <c r="D69" s="9">
        <f>IF(Inputs!$D$9&gt;=Calculations!B69,INDEX(MortalityTable[qx],MATCH(C69,MortalityTable[Age]),0),0)</f>
        <v>0</v>
      </c>
      <c r="E69" s="9">
        <f>IF(Inputs!$D$9&gt;=Calculations!B69,E68-(E68*D69),0)</f>
        <v>0</v>
      </c>
      <c r="F69" s="9">
        <f>IF(Inputs!$D$9&gt;=Calculations!B69,E68*D69,0)</f>
        <v>0</v>
      </c>
      <c r="G69" s="10">
        <f>IF(Inputs!$D$9&gt;=Calculations!B69,1/((1+Inputs!$D$12)^B69),0)</f>
        <v>0</v>
      </c>
      <c r="H69" s="10">
        <f>IF(Inputs!$D$9&gt;=Calculations!B69,Inputs!$D$11*Table2[[#This Row],[Probability of Death]],0)</f>
        <v>0</v>
      </c>
      <c r="I69" s="14">
        <f>IF(Inputs!$D$9&gt;=Calculations!B69,F69*Inputs!$D$11*G69,0)</f>
        <v>0</v>
      </c>
      <c r="J69" s="14">
        <f>IF(Inputs!$D$9&gt;=Calculations!B69,SUM($I$4:I69),0)</f>
        <v>0</v>
      </c>
    </row>
    <row r="70" spans="2:10">
      <c r="B70" s="23">
        <v>67</v>
      </c>
      <c r="C70" s="8">
        <f>Inputs!$D$7+B70-1</f>
        <v>106</v>
      </c>
      <c r="D70" s="9">
        <f>IF(Inputs!$D$9&gt;=Calculations!B70,INDEX(MortalityTable[qx],MATCH(C70,MortalityTable[Age]),0),0)</f>
        <v>0</v>
      </c>
      <c r="E70" s="9">
        <f>IF(Inputs!$D$9&gt;=Calculations!B70,E69-(E69*D70),0)</f>
        <v>0</v>
      </c>
      <c r="F70" s="9">
        <f>IF(Inputs!$D$9&gt;=Calculations!B70,E69*D70,0)</f>
        <v>0</v>
      </c>
      <c r="G70" s="10">
        <f>IF(Inputs!$D$9&gt;=Calculations!B70,1/((1+Inputs!$D$12)^B70),0)</f>
        <v>0</v>
      </c>
      <c r="H70" s="10">
        <f>IF(Inputs!$D$9&gt;=Calculations!B70,Inputs!$D$11*Table2[[#This Row],[Probability of Death]],0)</f>
        <v>0</v>
      </c>
      <c r="I70" s="14">
        <f>IF(Inputs!$D$9&gt;=Calculations!B70,F70*Inputs!$D$11*G70,0)</f>
        <v>0</v>
      </c>
      <c r="J70" s="14">
        <f>IF(Inputs!$D$9&gt;=Calculations!B70,SUM($I$4:I70),0)</f>
        <v>0</v>
      </c>
    </row>
    <row r="71" spans="2:10">
      <c r="B71" s="23">
        <v>68</v>
      </c>
      <c r="C71" s="8">
        <f>Inputs!$D$7+B71-1</f>
        <v>107</v>
      </c>
      <c r="D71" s="9">
        <f>IF(Inputs!$D$9&gt;=Calculations!B71,INDEX(MortalityTable[qx],MATCH(C71,MortalityTable[Age]),0),0)</f>
        <v>0</v>
      </c>
      <c r="E71" s="9">
        <f>IF(Inputs!$D$9&gt;=Calculations!B71,E70-(E70*D71),0)</f>
        <v>0</v>
      </c>
      <c r="F71" s="9">
        <f>IF(Inputs!$D$9&gt;=Calculations!B71,E70*D71,0)</f>
        <v>0</v>
      </c>
      <c r="G71" s="10">
        <f>IF(Inputs!$D$9&gt;=Calculations!B71,1/((1+Inputs!$D$12)^B71),0)</f>
        <v>0</v>
      </c>
      <c r="H71" s="10">
        <f>IF(Inputs!$D$9&gt;=Calculations!B71,Inputs!$D$11*Table2[[#This Row],[Probability of Death]],0)</f>
        <v>0</v>
      </c>
      <c r="I71" s="14">
        <f>IF(Inputs!$D$9&gt;=Calculations!B71,F71*Inputs!$D$11*G71,0)</f>
        <v>0</v>
      </c>
      <c r="J71" s="14">
        <f>IF(Inputs!$D$9&gt;=Calculations!B71,SUM($I$4:I71),0)</f>
        <v>0</v>
      </c>
    </row>
    <row r="72" spans="2:10">
      <c r="B72" s="23">
        <v>69</v>
      </c>
      <c r="C72" s="8">
        <f>Inputs!$D$7+B72-1</f>
        <v>108</v>
      </c>
      <c r="D72" s="9">
        <f>IF(Inputs!$D$9&gt;=Calculations!B72,INDEX(MortalityTable[qx],MATCH(C72,MortalityTable[Age]),0),0)</f>
        <v>0</v>
      </c>
      <c r="E72" s="9">
        <f>IF(Inputs!$D$9&gt;=Calculations!B72,E71-(E71*D72),0)</f>
        <v>0</v>
      </c>
      <c r="F72" s="9">
        <f>IF(Inputs!$D$9&gt;=Calculations!B72,E71*D72,0)</f>
        <v>0</v>
      </c>
      <c r="G72" s="10">
        <f>IF(Inputs!$D$9&gt;=Calculations!B72,1/((1+Inputs!$D$12)^B72),0)</f>
        <v>0</v>
      </c>
      <c r="H72" s="10">
        <f>IF(Inputs!$D$9&gt;=Calculations!B72,Inputs!$D$11*Table2[[#This Row],[Probability of Death]],0)</f>
        <v>0</v>
      </c>
      <c r="I72" s="14">
        <f>IF(Inputs!$D$9&gt;=Calculations!B72,F72*Inputs!$D$11*G72,0)</f>
        <v>0</v>
      </c>
      <c r="J72" s="14">
        <f>IF(Inputs!$D$9&gt;=Calculations!B72,SUM($I$4:I72),0)</f>
        <v>0</v>
      </c>
    </row>
    <row r="73" spans="2:10">
      <c r="B73" s="23">
        <v>70</v>
      </c>
      <c r="C73" s="8">
        <f>Inputs!$D$7+B73-1</f>
        <v>109</v>
      </c>
      <c r="D73" s="9">
        <f>IF(Inputs!$D$9&gt;=Calculations!B73,INDEX(MortalityTable[qx],MATCH(C73,MortalityTable[Age]),0),0)</f>
        <v>0</v>
      </c>
      <c r="E73" s="9">
        <f>IF(Inputs!$D$9&gt;=Calculations!B73,E72-(E72*D73),0)</f>
        <v>0</v>
      </c>
      <c r="F73" s="9">
        <f>IF(Inputs!$D$9&gt;=Calculations!B73,E72*D73,0)</f>
        <v>0</v>
      </c>
      <c r="G73" s="10">
        <f>IF(Inputs!$D$9&gt;=Calculations!B73,1/((1+Inputs!$D$12)^B73),0)</f>
        <v>0</v>
      </c>
      <c r="H73" s="10">
        <f>IF(Inputs!$D$9&gt;=Calculations!B73,Inputs!$D$11*Table2[[#This Row],[Probability of Death]],0)</f>
        <v>0</v>
      </c>
      <c r="I73" s="14">
        <f>IF(Inputs!$D$9&gt;=Calculations!B73,F73*Inputs!$D$11*G73,0)</f>
        <v>0</v>
      </c>
      <c r="J73" s="14">
        <f>IF(Inputs!$D$9&gt;=Calculations!B73,SUM($I$4:I73),0)</f>
        <v>0</v>
      </c>
    </row>
    <row r="74" spans="2:10">
      <c r="B74" s="23">
        <v>71</v>
      </c>
      <c r="C74" s="8">
        <f>Inputs!$D$7+B74-1</f>
        <v>110</v>
      </c>
      <c r="D74" s="9">
        <f>IF(Inputs!$D$9&gt;=Calculations!B74,INDEX(MortalityTable[qx],MATCH(C74,MortalityTable[Age]),0),0)</f>
        <v>0</v>
      </c>
      <c r="E74" s="9">
        <f>IF(Inputs!$D$9&gt;=Calculations!B74,E73-(E73*D74),0)</f>
        <v>0</v>
      </c>
      <c r="F74" s="9">
        <f>IF(Inputs!$D$9&gt;=Calculations!B74,E73*D74,0)</f>
        <v>0</v>
      </c>
      <c r="G74" s="10">
        <f>IF(Inputs!$D$9&gt;=Calculations!B74,1/((1+Inputs!$D$12)^B74),0)</f>
        <v>0</v>
      </c>
      <c r="H74" s="10">
        <f>IF(Inputs!$D$9&gt;=Calculations!B74,Inputs!$D$11*Table2[[#This Row],[Probability of Death]],0)</f>
        <v>0</v>
      </c>
      <c r="I74" s="14">
        <f>IF(Inputs!$D$9&gt;=Calculations!B74,F74*Inputs!$D$11*G74,0)</f>
        <v>0</v>
      </c>
      <c r="J74" s="14">
        <f>IF(Inputs!$D$9&gt;=Calculations!B74,SUM($I$4:I74),0)</f>
        <v>0</v>
      </c>
    </row>
    <row r="75" spans="2:10">
      <c r="B75" s="23">
        <v>72</v>
      </c>
      <c r="C75" s="8">
        <f>Inputs!$D$7+B75-1</f>
        <v>111</v>
      </c>
      <c r="D75" s="9">
        <f>IF(Inputs!$D$9&gt;=Calculations!B75,INDEX(MortalityTable[qx],MATCH(C75,MortalityTable[Age]),0),0)</f>
        <v>0</v>
      </c>
      <c r="E75" s="9">
        <f>IF(Inputs!$D$9&gt;=Calculations!B75,E74-(E74*D75),0)</f>
        <v>0</v>
      </c>
      <c r="F75" s="9">
        <f>IF(Inputs!$D$9&gt;=Calculations!B75,E74*D75,0)</f>
        <v>0</v>
      </c>
      <c r="G75" s="10">
        <f>IF(Inputs!$D$9&gt;=Calculations!B75,1/((1+Inputs!$D$12)^B75),0)</f>
        <v>0</v>
      </c>
      <c r="H75" s="10">
        <f>IF(Inputs!$D$9&gt;=Calculations!B75,Inputs!$D$11*Table2[[#This Row],[Probability of Death]],0)</f>
        <v>0</v>
      </c>
      <c r="I75" s="14">
        <f>IF(Inputs!$D$9&gt;=Calculations!B75,F75*Inputs!$D$11*G75,0)</f>
        <v>0</v>
      </c>
      <c r="J75" s="14">
        <f>IF(Inputs!$D$9&gt;=Calculations!B75,SUM($I$4:I75),0)</f>
        <v>0</v>
      </c>
    </row>
    <row r="76" spans="2:10">
      <c r="B76" s="23">
        <v>73</v>
      </c>
      <c r="C76" s="8">
        <f>Inputs!$D$7+B76-1</f>
        <v>112</v>
      </c>
      <c r="D76" s="9">
        <f>IF(Inputs!$D$9&gt;=Calculations!B76,INDEX(MortalityTable[qx],MATCH(C76,MortalityTable[Age]),0),0)</f>
        <v>0</v>
      </c>
      <c r="E76" s="9">
        <f>IF(Inputs!$D$9&gt;=Calculations!B76,E75-(E75*D76),0)</f>
        <v>0</v>
      </c>
      <c r="F76" s="9">
        <f>IF(Inputs!$D$9&gt;=Calculations!B76,E75*D76,0)</f>
        <v>0</v>
      </c>
      <c r="G76" s="10">
        <f>IF(Inputs!$D$9&gt;=Calculations!B76,1/((1+Inputs!$D$12)^B76),0)</f>
        <v>0</v>
      </c>
      <c r="H76" s="10">
        <f>IF(Inputs!$D$9&gt;=Calculations!B76,Inputs!$D$11*Table2[[#This Row],[Probability of Death]],0)</f>
        <v>0</v>
      </c>
      <c r="I76" s="14">
        <f>IF(Inputs!$D$9&gt;=Calculations!B76,F76*Inputs!$D$11*G76,0)</f>
        <v>0</v>
      </c>
      <c r="J76" s="14">
        <f>IF(Inputs!$D$9&gt;=Calculations!B76,SUM($I$4:I76),0)</f>
        <v>0</v>
      </c>
    </row>
    <row r="77" spans="2:10">
      <c r="B77" s="23">
        <v>74</v>
      </c>
      <c r="C77" s="8">
        <f>Inputs!$D$7+B77-1</f>
        <v>113</v>
      </c>
      <c r="D77" s="9">
        <f>IF(Inputs!$D$9&gt;=Calculations!B77,INDEX(MortalityTable[qx],MATCH(C77,MortalityTable[Age]),0),0)</f>
        <v>0</v>
      </c>
      <c r="E77" s="9">
        <f>IF(Inputs!$D$9&gt;=Calculations!B77,E76-(E76*D77),0)</f>
        <v>0</v>
      </c>
      <c r="F77" s="9">
        <f>IF(Inputs!$D$9&gt;=Calculations!B77,E76*D77,0)</f>
        <v>0</v>
      </c>
      <c r="G77" s="10">
        <f>IF(Inputs!$D$9&gt;=Calculations!B77,1/((1+Inputs!$D$12)^B77),0)</f>
        <v>0</v>
      </c>
      <c r="H77" s="10">
        <f>IF(Inputs!$D$9&gt;=Calculations!B77,Inputs!$D$11*Table2[[#This Row],[Probability of Death]],0)</f>
        <v>0</v>
      </c>
      <c r="I77" s="14">
        <f>IF(Inputs!$D$9&gt;=Calculations!B77,F77*Inputs!$D$11*G77,0)</f>
        <v>0</v>
      </c>
      <c r="J77" s="14">
        <f>IF(Inputs!$D$9&gt;=Calculations!B77,SUM($I$4:I77),0)</f>
        <v>0</v>
      </c>
    </row>
    <row r="78" spans="2:10">
      <c r="B78" s="23">
        <v>75</v>
      </c>
      <c r="C78" s="8">
        <f>Inputs!$D$7+B78-1</f>
        <v>114</v>
      </c>
      <c r="D78" s="9">
        <f>IF(Inputs!$D$9&gt;=Calculations!B78,INDEX(MortalityTable[qx],MATCH(C78,MortalityTable[Age]),0),0)</f>
        <v>0</v>
      </c>
      <c r="E78" s="9">
        <f>IF(Inputs!$D$9&gt;=Calculations!B78,E77-(E77*D78),0)</f>
        <v>0</v>
      </c>
      <c r="F78" s="9">
        <f>IF(Inputs!$D$9&gt;=Calculations!B78,E77*D78,0)</f>
        <v>0</v>
      </c>
      <c r="G78" s="10">
        <f>IF(Inputs!$D$9&gt;=Calculations!B78,1/((1+Inputs!$D$12)^B78),0)</f>
        <v>0</v>
      </c>
      <c r="H78" s="10">
        <f>IF(Inputs!$D$9&gt;=Calculations!B78,Inputs!$D$11*Table2[[#This Row],[Probability of Death]],0)</f>
        <v>0</v>
      </c>
      <c r="I78" s="14">
        <f>IF(Inputs!$D$9&gt;=Calculations!B78,F78*Inputs!$D$11*G78,0)</f>
        <v>0</v>
      </c>
      <c r="J78" s="14">
        <f>IF(Inputs!$D$9&gt;=Calculations!B78,SUM($I$4:I78),0)</f>
        <v>0</v>
      </c>
    </row>
    <row r="79" spans="2:10">
      <c r="B79" s="23">
        <v>76</v>
      </c>
      <c r="C79" s="8">
        <f>Inputs!$D$7+B79-1</f>
        <v>115</v>
      </c>
      <c r="D79" s="9">
        <f>IF(Inputs!$D$9&gt;=Calculations!B79,INDEX(MortalityTable[qx],MATCH(C79,MortalityTable[Age]),0),0)</f>
        <v>0</v>
      </c>
      <c r="E79" s="9">
        <f>IF(Inputs!$D$9&gt;=Calculations!B79,E78-(E78*D79),0)</f>
        <v>0</v>
      </c>
      <c r="F79" s="9">
        <f>IF(Inputs!$D$9&gt;=Calculations!B79,E78*D79,0)</f>
        <v>0</v>
      </c>
      <c r="G79" s="10">
        <f>IF(Inputs!$D$9&gt;=Calculations!B79,1/((1+Inputs!$D$12)^B79),0)</f>
        <v>0</v>
      </c>
      <c r="H79" s="10">
        <f>IF(Inputs!$D$9&gt;=Calculations!B79,Inputs!$D$11*Table2[[#This Row],[Probability of Death]],0)</f>
        <v>0</v>
      </c>
      <c r="I79" s="14">
        <f>IF(Inputs!$D$9&gt;=Calculations!B79,F79*Inputs!$D$11*G79,0)</f>
        <v>0</v>
      </c>
      <c r="J79" s="14">
        <f>IF(Inputs!$D$9&gt;=Calculations!B79,SUM($I$4:I79),0)</f>
        <v>0</v>
      </c>
    </row>
    <row r="80" spans="2:10">
      <c r="B80" s="23">
        <v>77</v>
      </c>
      <c r="C80" s="8">
        <f>Inputs!$D$7+B80-1</f>
        <v>116</v>
      </c>
      <c r="D80" s="9">
        <f>IF(Inputs!$D$9&gt;=Calculations!B80,INDEX(MortalityTable[qx],MATCH(C80,MortalityTable[Age]),0),0)</f>
        <v>0</v>
      </c>
      <c r="E80" s="9">
        <f>IF(Inputs!$D$9&gt;=Calculations!B80,E79-(E79*D80),0)</f>
        <v>0</v>
      </c>
      <c r="F80" s="9">
        <f>IF(Inputs!$D$9&gt;=Calculations!B80,E79*D80,0)</f>
        <v>0</v>
      </c>
      <c r="G80" s="10">
        <f>IF(Inputs!$D$9&gt;=Calculations!B80,1/((1+Inputs!$D$12)^B80),0)</f>
        <v>0</v>
      </c>
      <c r="H80" s="10">
        <f>IF(Inputs!$D$9&gt;=Calculations!B80,Inputs!$D$11*Table2[[#This Row],[Probability of Death]],0)</f>
        <v>0</v>
      </c>
      <c r="I80" s="14">
        <f>IF(Inputs!$D$9&gt;=Calculations!B80,F80*Inputs!$D$11*G80,0)</f>
        <v>0</v>
      </c>
      <c r="J80" s="14">
        <f>IF(Inputs!$D$9&gt;=Calculations!B80,SUM($I$4:I80),0)</f>
        <v>0</v>
      </c>
    </row>
    <row r="81" spans="2:10">
      <c r="B81" s="23">
        <v>78</v>
      </c>
      <c r="C81" s="8">
        <f>Inputs!$D$7+B81-1</f>
        <v>117</v>
      </c>
      <c r="D81" s="9">
        <f>IF(Inputs!$D$9&gt;=Calculations!B81,INDEX(MortalityTable[qx],MATCH(C81,MortalityTable[Age]),0),0)</f>
        <v>0</v>
      </c>
      <c r="E81" s="9">
        <f>IF(Inputs!$D$9&gt;=Calculations!B81,E80-(E80*D81),0)</f>
        <v>0</v>
      </c>
      <c r="F81" s="9">
        <f>IF(Inputs!$D$9&gt;=Calculations!B81,E80*D81,0)</f>
        <v>0</v>
      </c>
      <c r="G81" s="10">
        <f>IF(Inputs!$D$9&gt;=Calculations!B81,1/((1+Inputs!$D$12)^B81),0)</f>
        <v>0</v>
      </c>
      <c r="H81" s="10">
        <f>IF(Inputs!$D$9&gt;=Calculations!B81,Inputs!$D$11*Table2[[#This Row],[Probability of Death]],0)</f>
        <v>0</v>
      </c>
      <c r="I81" s="14">
        <f>IF(Inputs!$D$9&gt;=Calculations!B81,F81*Inputs!$D$11*G81,0)</f>
        <v>0</v>
      </c>
      <c r="J81" s="14">
        <f>IF(Inputs!$D$9&gt;=Calculations!B81,SUM($I$4:I81),0)</f>
        <v>0</v>
      </c>
    </row>
    <row r="82" spans="2:10">
      <c r="B82" s="23">
        <v>79</v>
      </c>
      <c r="C82" s="8">
        <f>Inputs!$D$7+B82-1</f>
        <v>118</v>
      </c>
      <c r="D82" s="9">
        <f>IF(Inputs!$D$9&gt;=Calculations!B82,INDEX(MortalityTable[qx],MATCH(C82,MortalityTable[Age]),0),0)</f>
        <v>0</v>
      </c>
      <c r="E82" s="9">
        <f>IF(Inputs!$D$9&gt;=Calculations!B82,E81-(E81*D82),0)</f>
        <v>0</v>
      </c>
      <c r="F82" s="9">
        <f>IF(Inputs!$D$9&gt;=Calculations!B82,E81*D82,0)</f>
        <v>0</v>
      </c>
      <c r="G82" s="10">
        <f>IF(Inputs!$D$9&gt;=Calculations!B82,1/((1+Inputs!$D$12)^B82),0)</f>
        <v>0</v>
      </c>
      <c r="H82" s="10">
        <f>IF(Inputs!$D$9&gt;=Calculations!B82,Inputs!$D$11*Table2[[#This Row],[Probability of Death]],0)</f>
        <v>0</v>
      </c>
      <c r="I82" s="14">
        <f>IF(Inputs!$D$9&gt;=Calculations!B82,F82*Inputs!$D$11*G82,0)</f>
        <v>0</v>
      </c>
      <c r="J82" s="14">
        <f>IF(Inputs!$D$9&gt;=Calculations!B82,SUM($I$4:I82),0)</f>
        <v>0</v>
      </c>
    </row>
    <row r="83" spans="2:10">
      <c r="B83" s="23">
        <v>80</v>
      </c>
      <c r="C83" s="8">
        <f>Inputs!$D$7+B83-1</f>
        <v>119</v>
      </c>
      <c r="D83" s="9">
        <f>IF(Inputs!$D$9&gt;=Calculations!B83,INDEX(MortalityTable[qx],MATCH(C83,MortalityTable[Age]),0),0)</f>
        <v>0</v>
      </c>
      <c r="E83" s="9">
        <f>IF(Inputs!$D$9&gt;=Calculations!B83,E82-(E82*D83),0)</f>
        <v>0</v>
      </c>
      <c r="F83" s="9">
        <f>IF(Inputs!$D$9&gt;=Calculations!B83,E82*D83,0)</f>
        <v>0</v>
      </c>
      <c r="G83" s="10">
        <f>IF(Inputs!$D$9&gt;=Calculations!B83,1/((1+Inputs!$D$12)^B83),0)</f>
        <v>0</v>
      </c>
      <c r="H83" s="10">
        <f>IF(Inputs!$D$9&gt;=Calculations!B83,Inputs!$D$11*Table2[[#This Row],[Probability of Death]],0)</f>
        <v>0</v>
      </c>
      <c r="I83" s="14">
        <f>IF(Inputs!$D$9&gt;=Calculations!B83,F83*Inputs!$D$11*G83,0)</f>
        <v>0</v>
      </c>
      <c r="J83" s="14">
        <f>IF(Inputs!$D$9&gt;=Calculations!B83,SUM($I$4:I83),0)</f>
        <v>0</v>
      </c>
    </row>
    <row r="84" spans="2:10">
      <c r="B84" s="23">
        <v>81</v>
      </c>
      <c r="C84" s="8">
        <f>Inputs!$D$7+B84-1</f>
        <v>120</v>
      </c>
      <c r="D84" s="9">
        <f>IF(Inputs!$D$9&gt;=Calculations!B84,INDEX(MortalityTable[qx],MATCH(C84,MortalityTable[Age]),0),0)</f>
        <v>0</v>
      </c>
      <c r="E84" s="9">
        <f>IF(Inputs!$D$9&gt;=Calculations!B84,E83-(E83*D84),0)</f>
        <v>0</v>
      </c>
      <c r="F84" s="9">
        <f>IF(Inputs!$D$9&gt;=Calculations!B84,E83*D84,0)</f>
        <v>0</v>
      </c>
      <c r="G84" s="10">
        <f>IF(Inputs!$D$9&gt;=Calculations!B84,1/((1+Inputs!$D$12)^B84),0)</f>
        <v>0</v>
      </c>
      <c r="H84" s="10">
        <f>IF(Inputs!$D$9&gt;=Calculations!B84,Inputs!$D$11*Table2[[#This Row],[Probability of Death]],0)</f>
        <v>0</v>
      </c>
      <c r="I84" s="14">
        <f>IF(Inputs!$D$9&gt;=Calculations!B84,F84*Inputs!$D$11*G84,0)</f>
        <v>0</v>
      </c>
      <c r="J84" s="14">
        <f>IF(Inputs!$D$9&gt;=Calculations!B84,SUM($I$4:I84),0)</f>
        <v>0</v>
      </c>
    </row>
    <row r="85" spans="2:10" ht="15.75" thickBot="1">
      <c r="B85" s="24">
        <v>82</v>
      </c>
      <c r="C85" s="11">
        <f>Inputs!$D$7+B85-1</f>
        <v>121</v>
      </c>
      <c r="D85" s="12">
        <f>IF(Inputs!$D$9&gt;=Calculations!B85,INDEX(MortalityTable[qx],MATCH(C85,MortalityTable[Age]),0),0)</f>
        <v>0</v>
      </c>
      <c r="E85" s="12">
        <f>IF(Inputs!$D$9&gt;=Calculations!B85,E84-(E84*D85),0)</f>
        <v>0</v>
      </c>
      <c r="F85" s="12">
        <f>IF(Inputs!$D$9&gt;=Calculations!B85,E84*D85,0)</f>
        <v>0</v>
      </c>
      <c r="G85" s="13">
        <f>IF(Inputs!$D$9&gt;=Calculations!B85,1/((1+Inputs!$D$12)^B85),0)</f>
        <v>0</v>
      </c>
      <c r="H85" s="13">
        <f>IF(Inputs!$D$9&gt;=Calculations!B85,Inputs!$D$11*Table2[[#This Row],[Probability of Death]],0)</f>
        <v>0</v>
      </c>
      <c r="I85" s="15">
        <f>IF(Inputs!$D$9&gt;=Calculations!B85,F85*Inputs!$D$11*G85,0)</f>
        <v>0</v>
      </c>
      <c r="J85" s="15">
        <f>IF(Inputs!$D$9&gt;=Calculations!B85,SUM($I$4:I85),0)</f>
        <v>0</v>
      </c>
    </row>
    <row r="86" spans="2:10">
      <c r="B86" s="26" t="s">
        <v>47</v>
      </c>
      <c r="C86" s="17"/>
      <c r="D86" s="17"/>
      <c r="E86" s="17"/>
      <c r="F86" s="18">
        <f>SUM(F4:F85)</f>
        <v>0.18285100963343029</v>
      </c>
      <c r="G86" s="19">
        <f>SUM(G4:G85)</f>
        <v>15.372451026882839</v>
      </c>
      <c r="H86" s="19">
        <f>SUM(H4:H85)</f>
        <v>18285.100963343029</v>
      </c>
      <c r="I86" s="20">
        <f>SUM(I4:I85)</f>
        <v>6540.2964696366707</v>
      </c>
      <c r="J86" s="20"/>
    </row>
    <row r="87" spans="2:10">
      <c r="G87" s="5"/>
      <c r="H87" s="5"/>
    </row>
  </sheetData>
  <pageMargins left="0.7" right="0.7" top="0.75" bottom="0.75" header="0.3" footer="0.3"/>
  <ignoredErrors>
    <ignoredError sqref="H86" calculatedColum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FC76-44C1-4497-BCA3-E32AC14E02A5}">
  <dimension ref="B2:M86"/>
  <sheetViews>
    <sheetView showGridLines="0" zoomScale="80" zoomScaleNormal="80" workbookViewId="0">
      <selection activeCell="L4" sqref="L4"/>
    </sheetView>
  </sheetViews>
  <sheetFormatPr defaultRowHeight="15"/>
  <cols>
    <col min="2" max="2" width="10.7109375" bestFit="1" customWidth="1"/>
    <col min="3" max="3" width="4.42578125" bestFit="1" customWidth="1"/>
    <col min="4" max="4" width="18.42578125" bestFit="1" customWidth="1"/>
    <col min="5" max="5" width="14.7109375" bestFit="1" customWidth="1"/>
    <col min="6" max="6" width="18.140625" bestFit="1" customWidth="1"/>
    <col min="7" max="7" width="14" bestFit="1" customWidth="1"/>
    <col min="8" max="8" width="15" bestFit="1" customWidth="1"/>
    <col min="9" max="10" width="17.7109375" bestFit="1" customWidth="1"/>
    <col min="11" max="11" width="20.28515625" bestFit="1" customWidth="1"/>
    <col min="12" max="12" width="13.42578125" bestFit="1" customWidth="1"/>
    <col min="13" max="13" width="19.5703125" bestFit="1" customWidth="1"/>
  </cols>
  <sheetData>
    <row r="2" spans="2:13" ht="15.75" thickBot="1"/>
    <row r="3" spans="2:13" ht="15.75" customHeight="1" thickBot="1">
      <c r="B3" s="34" t="s">
        <v>25</v>
      </c>
      <c r="C3" s="35" t="s">
        <v>5</v>
      </c>
      <c r="D3" s="35" t="s">
        <v>26</v>
      </c>
      <c r="E3" s="35" t="s">
        <v>22</v>
      </c>
      <c r="F3" s="35" t="s">
        <v>27</v>
      </c>
      <c r="G3" s="35" t="s">
        <v>50</v>
      </c>
      <c r="H3" s="35" t="s">
        <v>93</v>
      </c>
      <c r="I3" s="35" t="s">
        <v>94</v>
      </c>
      <c r="J3" s="35" t="s">
        <v>98</v>
      </c>
      <c r="K3" s="35" t="s">
        <v>99</v>
      </c>
      <c r="L3" s="35" t="s">
        <v>40</v>
      </c>
      <c r="M3" s="36" t="s">
        <v>51</v>
      </c>
    </row>
    <row r="4" spans="2:13">
      <c r="B4" s="33">
        <v>1</v>
      </c>
      <c r="C4" s="28">
        <f>Inputs!D7</f>
        <v>40</v>
      </c>
      <c r="D4" s="29">
        <f>Table2[[#This Row],[px]]</f>
        <v>0.99906300000000003</v>
      </c>
      <c r="E4" s="29">
        <f>IF(Inputs!$D$10&gt;=Premium_Calculations!B4,1/((1+Inputs!$D$12)^(Premium_Calculations!B4-1)),0)</f>
        <v>1</v>
      </c>
      <c r="F4" s="29">
        <f>E4</f>
        <v>1</v>
      </c>
      <c r="G4" s="47">
        <f>IF(Inputs!$D$10&gt;=Premium_Calculations!B4,(Premium!$C$17/Premium!$C$18)*F4,0)</f>
        <v>506.85538699615876</v>
      </c>
      <c r="H4" s="47">
        <f ca="1">Premium!C28*Inputs!$D$13</f>
        <v>183.47105824026653</v>
      </c>
      <c r="I4" s="47">
        <v>0</v>
      </c>
      <c r="J4" s="47">
        <f ca="1">Premium!$C$28*Inputs!$D$15</f>
        <v>366.94211648053306</v>
      </c>
      <c r="K4" s="47">
        <v>0</v>
      </c>
      <c r="L4" s="47">
        <f ca="1">IF(Inputs!$D$10&gt;=Premium_Calculations!B4,Premium!$C$28*Inputs!$D$17*F4,0)</f>
        <v>0</v>
      </c>
      <c r="M4" s="48">
        <f ca="1">SUM(G4:L4)</f>
        <v>1057.2685617169584</v>
      </c>
    </row>
    <row r="5" spans="2:13">
      <c r="B5" s="30">
        <v>2</v>
      </c>
      <c r="C5" s="7">
        <f>C4+1</f>
        <v>41</v>
      </c>
      <c r="D5" s="25">
        <f>Table2[[#This Row],[px]]</f>
        <v>0.99804995011800002</v>
      </c>
      <c r="E5" s="25">
        <f>IF(Inputs!$D$10&gt;=Premium_Calculations!B5,1/((1+Inputs!$D$12)^(Premium_Calculations!B5-1)),0)</f>
        <v>0.95238095238095233</v>
      </c>
      <c r="F5" s="25">
        <f>IF(Inputs!$D$10&gt;=Premium_Calculations!B5,D4*E5,0)</f>
        <v>0.95148857142857146</v>
      </c>
      <c r="G5" s="47">
        <f>IF(Inputs!$D$10&gt;=Premium_Calculations!B5,(Premium!$C$17/Premium!$C$18)*F5,0)</f>
        <v>482.26710809385082</v>
      </c>
      <c r="H5" s="27">
        <v>0</v>
      </c>
      <c r="I5" s="27">
        <f ca="1">IF(Inputs!$D$10&gt;=Premium_Calculations!B5,Premium!$C$28*Inputs!$D$14*F5,0)</f>
        <v>34.914123020703883</v>
      </c>
      <c r="J5" s="27">
        <v>0</v>
      </c>
      <c r="K5" s="27">
        <f ca="1">IF(Inputs!$D$10&gt;=Premium_Calculations!B5,Premium!$C$28*Inputs!$D$16*F5,0)</f>
        <v>29.095102517253238</v>
      </c>
      <c r="L5" s="47">
        <f ca="1">IF(Inputs!$D$10&gt;=Premium_Calculations!B5,Premium!$C$28*Inputs!$D$17*F5,0)</f>
        <v>0</v>
      </c>
      <c r="M5" s="49">
        <f t="shared" ref="M5:M35" ca="1" si="0">SUM(G5:L5)</f>
        <v>546.27633363180803</v>
      </c>
    </row>
    <row r="6" spans="2:13">
      <c r="B6" s="30">
        <v>3</v>
      </c>
      <c r="C6" s="7">
        <f t="shared" ref="C6:C69" si="1">C5+1</f>
        <v>42</v>
      </c>
      <c r="D6" s="25">
        <f>Table2[[#This Row],[px]]</f>
        <v>0.99694810297306979</v>
      </c>
      <c r="E6" s="25">
        <f>IF(Inputs!$D$10&gt;=Premium_Calculations!B6,1/((1+Inputs!$D$12)^(Premium_Calculations!B6-1)),0)</f>
        <v>0.90702947845804982</v>
      </c>
      <c r="F6" s="25">
        <f>IF(Inputs!$D$10&gt;=Premium_Calculations!B6,D5*E6,0)</f>
        <v>0.90526072573061223</v>
      </c>
      <c r="G6" s="47">
        <f>IF(Inputs!$D$10&gt;=Premium_Calculations!B6,(Premium!$C$17/Premium!$C$18)*F6,0)</f>
        <v>458.83627547261301</v>
      </c>
      <c r="H6" s="27">
        <v>0</v>
      </c>
      <c r="I6" s="27">
        <f ca="1">IF(Inputs!$D$10&gt;=Premium_Calculations!B6,Premium!$C$28*Inputs!$D$14*F6,0)</f>
        <v>33.217828666629416</v>
      </c>
      <c r="J6" s="27">
        <v>0</v>
      </c>
      <c r="K6" s="27">
        <f ca="1">IF(Inputs!$D$10&gt;=Premium_Calculations!B6,Premium!$C$28*Inputs!$D$16*F6,0)</f>
        <v>27.68152388885785</v>
      </c>
      <c r="L6" s="47">
        <f ca="1">IF(Inputs!$D$10&gt;=Premium_Calculations!B6,Premium!$C$28*Inputs!$D$17*F6,0)</f>
        <v>0</v>
      </c>
      <c r="M6" s="49">
        <f t="shared" ca="1" si="0"/>
        <v>519.73562802810034</v>
      </c>
    </row>
    <row r="7" spans="2:13">
      <c r="B7" s="30">
        <v>4</v>
      </c>
      <c r="C7" s="7">
        <f t="shared" si="1"/>
        <v>43</v>
      </c>
      <c r="D7" s="25">
        <f>Table2[[#This Row],[px]]</f>
        <v>0.99574378966467836</v>
      </c>
      <c r="E7" s="25">
        <f>IF(Inputs!$D$10&gt;=Premium_Calculations!B7,1/((1+Inputs!$D$12)^(Premium_Calculations!B7-1)),0)</f>
        <v>0.86383759853147601</v>
      </c>
      <c r="F7" s="25">
        <f>IF(Inputs!$D$10&gt;=Premium_Calculations!B7,D6*E7,0)</f>
        <v>0.86120125513276724</v>
      </c>
      <c r="G7" s="47">
        <f>IF(Inputs!$D$10&gt;=Premium_Calculations!B7,(Premium!$C$17/Premium!$C$18)*F7,0)</f>
        <v>436.50449545189639</v>
      </c>
      <c r="H7" s="27">
        <v>0</v>
      </c>
      <c r="I7" s="27">
        <f ca="1">IF(Inputs!$D$10&gt;=Premium_Calculations!B7,Premium!$C$28*Inputs!$D$14*F7,0)</f>
        <v>31.601101127410914</v>
      </c>
      <c r="J7" s="27">
        <v>0</v>
      </c>
      <c r="K7" s="27">
        <f ca="1">IF(Inputs!$D$10&gt;=Premium_Calculations!B7,Premium!$C$28*Inputs!$D$16*F7,0)</f>
        <v>26.334250939509097</v>
      </c>
      <c r="L7" s="47">
        <f ca="1">IF(Inputs!$D$10&gt;=Premium_Calculations!B7,Premium!$C$28*Inputs!$D$17*F7,0)</f>
        <v>0</v>
      </c>
      <c r="M7" s="49">
        <f t="shared" ca="1" si="0"/>
        <v>494.43984751881641</v>
      </c>
    </row>
    <row r="8" spans="2:13">
      <c r="B8" s="30">
        <v>5</v>
      </c>
      <c r="C8" s="7">
        <f t="shared" si="1"/>
        <v>44</v>
      </c>
      <c r="D8" s="25">
        <f>Table2[[#This Row],[px]]</f>
        <v>0.9944224376557933</v>
      </c>
      <c r="E8" s="25">
        <f>IF(Inputs!$D$10&gt;=Premium_Calculations!B8,1/((1+Inputs!$D$12)^(Premium_Calculations!B8-1)),0)</f>
        <v>0.82270247479188197</v>
      </c>
      <c r="F8" s="25">
        <f>IF(Inputs!$D$10&gt;=Premium_Calculations!B8,D7*E8,0)</f>
        <v>0.81920088001577807</v>
      </c>
      <c r="G8" s="47">
        <f>IF(Inputs!$D$10&gt;=Premium_Calculations!B8,(Premium!$C$17/Premium!$C$18)*F8,0)</f>
        <v>415.216379067991</v>
      </c>
      <c r="H8" s="27">
        <v>0</v>
      </c>
      <c r="I8" s="27">
        <f ca="1">IF(Inputs!$D$10&gt;=Premium_Calculations!B8,Premium!$C$28*Inputs!$D$14*F8,0)</f>
        <v>30.059930473570482</v>
      </c>
      <c r="J8" s="27">
        <v>0</v>
      </c>
      <c r="K8" s="27">
        <f ca="1">IF(Inputs!$D$10&gt;=Premium_Calculations!B8,Premium!$C$28*Inputs!$D$16*F8,0)</f>
        <v>25.049942061308734</v>
      </c>
      <c r="L8" s="47">
        <f ca="1">IF(Inputs!$D$10&gt;=Premium_Calculations!B8,Premium!$C$28*Inputs!$D$17*F8,0)</f>
        <v>0</v>
      </c>
      <c r="M8" s="49">
        <f t="shared" ca="1" si="0"/>
        <v>470.32625160287023</v>
      </c>
    </row>
    <row r="9" spans="2:13">
      <c r="B9" s="30">
        <v>6</v>
      </c>
      <c r="C9" s="7">
        <f t="shared" si="1"/>
        <v>45</v>
      </c>
      <c r="D9" s="25">
        <f>Table2[[#This Row],[px]]</f>
        <v>0.99296560878462758</v>
      </c>
      <c r="E9" s="25">
        <f>IF(Inputs!$D$10&gt;=Premium_Calculations!B9,1/((1+Inputs!$D$12)^(Premium_Calculations!B9-1)),0)</f>
        <v>0.78352616646845896</v>
      </c>
      <c r="F9" s="25">
        <f>IF(Inputs!$D$10&gt;=Premium_Calculations!B9,D8*E9,0)</f>
        <v>0.77915600042666389</v>
      </c>
      <c r="G9" s="47">
        <f>IF(Inputs!$D$10&gt;=Premium_Calculations!B9,(Premium!$C$17/Premium!$C$18)*F9,0)</f>
        <v>394.91941612663595</v>
      </c>
      <c r="H9" s="27">
        <v>0</v>
      </c>
      <c r="I9" s="27">
        <f ca="1">IF(Inputs!$D$10&gt;=Premium_Calculations!B9,Premium!$C$28*Inputs!$D$14*F9,0)</f>
        <v>28.590515186506714</v>
      </c>
      <c r="J9" s="27">
        <v>0</v>
      </c>
      <c r="K9" s="27">
        <f ca="1">IF(Inputs!$D$10&gt;=Premium_Calculations!B9,Premium!$C$28*Inputs!$D$16*F9,0)</f>
        <v>23.825429322088929</v>
      </c>
      <c r="L9" s="47">
        <f ca="1">IF(Inputs!$D$10&gt;=Premium_Calculations!B9,Premium!$C$28*Inputs!$D$17*F9,0)</f>
        <v>0</v>
      </c>
      <c r="M9" s="49">
        <f t="shared" ca="1" si="0"/>
        <v>447.33536063523161</v>
      </c>
    </row>
    <row r="10" spans="2:13">
      <c r="B10" s="30">
        <v>7</v>
      </c>
      <c r="C10" s="7">
        <f t="shared" si="1"/>
        <v>46</v>
      </c>
      <c r="D10" s="25">
        <f>Table2[[#This Row],[px]]</f>
        <v>0.99135501856717889</v>
      </c>
      <c r="E10" s="25">
        <f>IF(Inputs!$D$10&gt;=Premium_Calculations!B10,1/((1+Inputs!$D$12)^(Premium_Calculations!B10-1)),0)</f>
        <v>0.74621539663662761</v>
      </c>
      <c r="F10" s="25">
        <f>IF(Inputs!$D$10&gt;=Premium_Calculations!B10,D9*E10,0)</f>
        <v>0.74096622560575132</v>
      </c>
      <c r="G10" s="47">
        <f>IF(Inputs!$D$10&gt;=Premium_Calculations!B10,(Premium!$C$17/Premium!$C$18)*F10,0)</f>
        <v>375.56272303048615</v>
      </c>
      <c r="H10" s="27">
        <v>0</v>
      </c>
      <c r="I10" s="27">
        <f ca="1">IF(Inputs!$D$10&gt;=Premium_Calculations!B10,Premium!$C$28*Inputs!$D$14*F10,0)</f>
        <v>27.189171506436654</v>
      </c>
      <c r="J10" s="27">
        <v>0</v>
      </c>
      <c r="K10" s="27">
        <f ca="1">IF(Inputs!$D$10&gt;=Premium_Calculations!B10,Premium!$C$28*Inputs!$D$16*F10,0)</f>
        <v>22.657642922030544</v>
      </c>
      <c r="L10" s="47">
        <f ca="1">IF(Inputs!$D$10&gt;=Premium_Calculations!B10,Premium!$C$28*Inputs!$D$17*F10,0)</f>
        <v>0</v>
      </c>
      <c r="M10" s="49">
        <f t="shared" ca="1" si="0"/>
        <v>425.40953745895337</v>
      </c>
    </row>
    <row r="11" spans="2:13">
      <c r="B11" s="30">
        <v>8</v>
      </c>
      <c r="C11" s="7">
        <f t="shared" si="1"/>
        <v>47</v>
      </c>
      <c r="D11" s="25">
        <f>Table2[[#This Row],[px]]</f>
        <v>0.98956859682372078</v>
      </c>
      <c r="E11" s="25">
        <f>IF(Inputs!$D$10&gt;=Premium_Calculations!B11,1/((1+Inputs!$D$12)^(Premium_Calculations!B11-1)),0)</f>
        <v>0.71068133013012147</v>
      </c>
      <c r="F11" s="25">
        <f>IF(Inputs!$D$10&gt;=Premium_Calculations!B11,D10*E11,0)</f>
        <v>0.704537503226494</v>
      </c>
      <c r="G11" s="47">
        <f>IF(Inputs!$D$10&gt;=Premium_Calculations!B11,(Premium!$C$17/Premium!$C$18)*F11,0)</f>
        <v>357.09862885117207</v>
      </c>
      <c r="H11" s="27">
        <v>0</v>
      </c>
      <c r="I11" s="27">
        <f ca="1">IF(Inputs!$D$10&gt;=Premium_Calculations!B11,Premium!$C$28*Inputs!$D$14*F11,0)</f>
        <v>25.852448257384008</v>
      </c>
      <c r="J11" s="27">
        <v>0</v>
      </c>
      <c r="K11" s="27">
        <f ca="1">IF(Inputs!$D$10&gt;=Premium_Calculations!B11,Premium!$C$28*Inputs!$D$16*F11,0)</f>
        <v>21.543706881153341</v>
      </c>
      <c r="L11" s="47">
        <f ca="1">IF(Inputs!$D$10&gt;=Premium_Calculations!B11,Premium!$C$28*Inputs!$D$17*F11,0)</f>
        <v>0</v>
      </c>
      <c r="M11" s="49">
        <f t="shared" ca="1" si="0"/>
        <v>404.49478398970945</v>
      </c>
    </row>
    <row r="12" spans="2:13">
      <c r="B12" s="30">
        <v>9</v>
      </c>
      <c r="C12" s="7">
        <f t="shared" si="1"/>
        <v>48</v>
      </c>
      <c r="D12" s="25">
        <f>Table2[[#This Row],[px]]</f>
        <v>0.98758154308129875</v>
      </c>
      <c r="E12" s="25">
        <f>IF(Inputs!$D$10&gt;=Premium_Calculations!B12,1/((1+Inputs!$D$12)^(Premium_Calculations!B12-1)),0)</f>
        <v>0.67683936202868722</v>
      </c>
      <c r="F12" s="25">
        <f>IF(Inputs!$D$10&gt;=Premium_Calculations!B12,D11*E12,0)</f>
        <v>0.66977897775779038</v>
      </c>
      <c r="G12" s="47">
        <f>IF(Inputs!$D$10&gt;=Premium_Calculations!B12,(Premium!$C$17/Premium!$C$18)*F12,0)</f>
        <v>339.48108297331646</v>
      </c>
      <c r="H12" s="27">
        <v>0</v>
      </c>
      <c r="I12" s="27">
        <f ca="1">IF(Inputs!$D$10&gt;=Premium_Calculations!B12,Premium!$C$28*Inputs!$D$14*F12,0)</f>
        <v>24.577011567261145</v>
      </c>
      <c r="J12" s="27">
        <v>0</v>
      </c>
      <c r="K12" s="27">
        <f ca="1">IF(Inputs!$D$10&gt;=Premium_Calculations!B12,Premium!$C$28*Inputs!$D$16*F12,0)</f>
        <v>20.480842972717625</v>
      </c>
      <c r="L12" s="47">
        <f ca="1">IF(Inputs!$D$10&gt;=Premium_Calculations!B12,Premium!$C$28*Inputs!$D$17*F12,0)</f>
        <v>0</v>
      </c>
      <c r="M12" s="49">
        <f t="shared" ca="1" si="0"/>
        <v>384.5389375132952</v>
      </c>
    </row>
    <row r="13" spans="2:13">
      <c r="B13" s="30">
        <v>10</v>
      </c>
      <c r="C13" s="7">
        <f t="shared" si="1"/>
        <v>49</v>
      </c>
      <c r="D13" s="25">
        <f>Table2[[#This Row],[px]]</f>
        <v>0.98536837284325351</v>
      </c>
      <c r="E13" s="25">
        <f>IF(Inputs!$D$10&gt;=Premium_Calculations!B13,1/((1+Inputs!$D$12)^(Premium_Calculations!B13-1)),0)</f>
        <v>0.64460891621779726</v>
      </c>
      <c r="F13" s="25">
        <f>IF(Inputs!$D$10&gt;=Premium_Calculations!B13,D12*E13,0)</f>
        <v>0.63660386816233583</v>
      </c>
      <c r="G13" s="47">
        <f>IF(Inputs!$D$10&gt;=Premium_Calculations!B13,(Premium!$C$17/Premium!$C$18)*F13,0)</f>
        <v>322.66609996067234</v>
      </c>
      <c r="H13" s="27">
        <v>0</v>
      </c>
      <c r="I13" s="27">
        <f ca="1">IF(Inputs!$D$10&gt;=Premium_Calculations!B13,Premium!$C$28*Inputs!$D$14*F13,0)</f>
        <v>23.359677074318174</v>
      </c>
      <c r="J13" s="27">
        <v>0</v>
      </c>
      <c r="K13" s="27">
        <f ca="1">IF(Inputs!$D$10&gt;=Premium_Calculations!B13,Premium!$C$28*Inputs!$D$16*F13,0)</f>
        <v>19.466397561931814</v>
      </c>
      <c r="L13" s="47">
        <f ca="1">IF(Inputs!$D$10&gt;=Premium_Calculations!B13,Premium!$C$28*Inputs!$D$17*F13,0)</f>
        <v>0</v>
      </c>
      <c r="M13" s="49">
        <f t="shared" ca="1" si="0"/>
        <v>365.49217459692238</v>
      </c>
    </row>
    <row r="14" spans="2:13">
      <c r="B14" s="30">
        <v>11</v>
      </c>
      <c r="C14" s="7">
        <f t="shared" si="1"/>
        <v>50</v>
      </c>
      <c r="D14" s="25">
        <f>Table2[[#This Row],[px]]</f>
        <v>0.98289706896416262</v>
      </c>
      <c r="E14" s="25">
        <f>IF(Inputs!$D$10&gt;=Premium_Calculations!B14,1/((1+Inputs!$D$12)^(Premium_Calculations!B14-1)),0)</f>
        <v>0.61391325354075932</v>
      </c>
      <c r="F14" s="25">
        <f>IF(Inputs!$D$10&gt;=Premium_Calculations!B14,D13*E14,0)</f>
        <v>0.60493070370836577</v>
      </c>
      <c r="G14" s="47">
        <f>IF(Inputs!$D$10&gt;=Premium_Calculations!B14,(Premium!$C$17/Premium!$C$18)*F14,0)</f>
        <v>306.6123859339624</v>
      </c>
      <c r="H14" s="27">
        <v>0</v>
      </c>
      <c r="I14" s="27">
        <f ca="1">IF(Inputs!$D$10&gt;=Premium_Calculations!B14,Premium!$C$28*Inputs!$D$14*F14,0)</f>
        <v>22.197455274280596</v>
      </c>
      <c r="J14" s="27">
        <v>0</v>
      </c>
      <c r="K14" s="27">
        <f ca="1">IF(Inputs!$D$10&gt;=Premium_Calculations!B14,Premium!$C$28*Inputs!$D$16*F14,0)</f>
        <v>18.497879395233831</v>
      </c>
      <c r="L14" s="47">
        <f ca="1">IF(Inputs!$D$10&gt;=Premium_Calculations!B14,Premium!$C$28*Inputs!$D$17*F14,0)</f>
        <v>0</v>
      </c>
      <c r="M14" s="49">
        <f t="shared" ca="1" si="0"/>
        <v>347.30772060347681</v>
      </c>
    </row>
    <row r="15" spans="2:13">
      <c r="B15" s="30">
        <v>12</v>
      </c>
      <c r="C15" s="7">
        <f t="shared" si="1"/>
        <v>51</v>
      </c>
      <c r="D15" s="25">
        <f>Table2[[#This Row],[px]]</f>
        <v>0.98013611109744225</v>
      </c>
      <c r="E15" s="25">
        <f>IF(Inputs!$D$10&gt;=Premium_Calculations!B15,1/((1+Inputs!$D$12)^(Premium_Calculations!B15-1)),0)</f>
        <v>0.5846792890864374</v>
      </c>
      <c r="F15" s="25">
        <f>IF(Inputs!$D$10&gt;=Premium_Calculations!B15,D14*E15,0)</f>
        <v>0.57467955952710958</v>
      </c>
      <c r="G15" s="47">
        <f>IF(Inputs!$D$10&gt;=Premium_Calculations!B15,(Premium!$C$17/Premium!$C$18)*F15,0)</f>
        <v>291.27943054289517</v>
      </c>
      <c r="H15" s="27">
        <v>0</v>
      </c>
      <c r="I15" s="27">
        <f ca="1">IF(Inputs!$D$10&gt;=Premium_Calculations!B15,Premium!$C$28*Inputs!$D$14*F15,0)</f>
        <v>21.087413387097808</v>
      </c>
      <c r="J15" s="27">
        <v>0</v>
      </c>
      <c r="K15" s="27">
        <f ca="1">IF(Inputs!$D$10&gt;=Premium_Calculations!B15,Premium!$C$28*Inputs!$D$16*F15,0)</f>
        <v>17.572844489248173</v>
      </c>
      <c r="L15" s="47">
        <f ca="1">IF(Inputs!$D$10&gt;=Premium_Calculations!B15,Premium!$C$28*Inputs!$D$17*F15,0)</f>
        <v>0</v>
      </c>
      <c r="M15" s="49">
        <f t="shared" ca="1" si="0"/>
        <v>329.93968841924112</v>
      </c>
    </row>
    <row r="16" spans="2:13">
      <c r="B16" s="30">
        <v>13</v>
      </c>
      <c r="C16" s="7">
        <f t="shared" si="1"/>
        <v>52</v>
      </c>
      <c r="D16" s="25">
        <f>Table2[[#This Row],[px]]</f>
        <v>0.97704672207526311</v>
      </c>
      <c r="E16" s="25">
        <f>IF(Inputs!$D$10&gt;=Premium_Calculations!B16,1/((1+Inputs!$D$12)^(Premium_Calculations!B16-1)),0)</f>
        <v>0.5568374181775595</v>
      </c>
      <c r="F16" s="25">
        <f>IF(Inputs!$D$10&gt;=Premium_Calculations!B16,D15*E16,0)</f>
        <v>0.54577646156609338</v>
      </c>
      <c r="G16" s="47">
        <f>IF(Inputs!$D$10&gt;=Premium_Calculations!B16,(Premium!$C$17/Premium!$C$18)*F16,0)</f>
        <v>276.62973964047643</v>
      </c>
      <c r="H16" s="27">
        <v>0</v>
      </c>
      <c r="I16" s="27">
        <f ca="1">IF(Inputs!$D$10&gt;=Premium_Calculations!B16,Premium!$C$28*Inputs!$D$14*F16,0)</f>
        <v>20.026836993231861</v>
      </c>
      <c r="J16" s="27">
        <v>0</v>
      </c>
      <c r="K16" s="27">
        <f ca="1">IF(Inputs!$D$10&gt;=Premium_Calculations!B16,Premium!$C$28*Inputs!$D$16*F16,0)</f>
        <v>16.689030827693216</v>
      </c>
      <c r="L16" s="47">
        <f ca="1">IF(Inputs!$D$10&gt;=Premium_Calculations!B16,Premium!$C$28*Inputs!$D$17*F16,0)</f>
        <v>0</v>
      </c>
      <c r="M16" s="49">
        <f t="shared" ca="1" si="0"/>
        <v>313.34560746140153</v>
      </c>
    </row>
    <row r="17" spans="2:13">
      <c r="B17" s="30">
        <v>14</v>
      </c>
      <c r="C17" s="7">
        <f t="shared" si="1"/>
        <v>53</v>
      </c>
      <c r="D17" s="25">
        <f>Table2[[#This Row],[px]]</f>
        <v>0.97358895372583876</v>
      </c>
      <c r="E17" s="25">
        <f>IF(Inputs!$D$10&gt;=Premium_Calculations!B17,1/((1+Inputs!$D$12)^(Premium_Calculations!B17-1)),0)</f>
        <v>0.53032135064529462</v>
      </c>
      <c r="F17" s="25">
        <f>IF(Inputs!$D$10&gt;=Premium_Calculations!B17,D16*E17,0)</f>
        <v>0.51814873729451127</v>
      </c>
      <c r="G17" s="47">
        <f>IF(Inputs!$D$10&gt;=Premium_Calculations!B17,(Premium!$C$17/Premium!$C$18)*F17,0)</f>
        <v>262.62647876298053</v>
      </c>
      <c r="H17" s="27">
        <v>0</v>
      </c>
      <c r="I17" s="27">
        <f ca="1">IF(Inputs!$D$10&gt;=Premium_Calculations!B17,Premium!$C$28*Inputs!$D$14*F17,0)</f>
        <v>19.013059431456366</v>
      </c>
      <c r="J17" s="27">
        <v>0</v>
      </c>
      <c r="K17" s="27">
        <f ca="1">IF(Inputs!$D$10&gt;=Premium_Calculations!B17,Premium!$C$28*Inputs!$D$16*F17,0)</f>
        <v>15.844216192880307</v>
      </c>
      <c r="L17" s="47">
        <f ca="1">IF(Inputs!$D$10&gt;=Premium_Calculations!B17,Premium!$C$28*Inputs!$D$17*F17,0)</f>
        <v>0</v>
      </c>
      <c r="M17" s="49">
        <f t="shared" ca="1" si="0"/>
        <v>297.48375438731722</v>
      </c>
    </row>
    <row r="18" spans="2:13">
      <c r="B18" s="30">
        <v>15</v>
      </c>
      <c r="C18" s="7">
        <f t="shared" si="1"/>
        <v>54</v>
      </c>
      <c r="D18" s="25">
        <f>Table2[[#This Row],[px]]</f>
        <v>0.96971796404582478</v>
      </c>
      <c r="E18" s="25">
        <f>IF(Inputs!$D$10&gt;=Premium_Calculations!B18,1/((1+Inputs!$D$12)^(Premium_Calculations!B18-1)),0)</f>
        <v>0.50506795299551888</v>
      </c>
      <c r="F18" s="25">
        <f>IF(Inputs!$D$10&gt;=Premium_Calculations!B18,D17*E18,0)</f>
        <v>0.49172857991735835</v>
      </c>
      <c r="G18" s="47">
        <f>IF(Inputs!$D$10&gt;=Premium_Calculations!B18,(Premium!$C$17/Premium!$C$18)*F18,0)</f>
        <v>249.23527967108424</v>
      </c>
      <c r="H18" s="27">
        <v>0</v>
      </c>
      <c r="I18" s="27">
        <f ca="1">IF(Inputs!$D$10&gt;=Premium_Calculations!B18,Premium!$C$28*Inputs!$D$14*F18,0)</f>
        <v>18.043592584884241</v>
      </c>
      <c r="J18" s="27">
        <v>0</v>
      </c>
      <c r="K18" s="27">
        <f ca="1">IF(Inputs!$D$10&gt;=Premium_Calculations!B18,Premium!$C$28*Inputs!$D$16*F18,0)</f>
        <v>15.036327154070202</v>
      </c>
      <c r="L18" s="47">
        <f ca="1">IF(Inputs!$D$10&gt;=Premium_Calculations!B18,Premium!$C$28*Inputs!$D$17*F18,0)</f>
        <v>0</v>
      </c>
      <c r="M18" s="49">
        <f t="shared" ca="1" si="0"/>
        <v>282.3151994100387</v>
      </c>
    </row>
    <row r="19" spans="2:13">
      <c r="B19" s="30">
        <v>16</v>
      </c>
      <c r="C19" s="7">
        <f t="shared" si="1"/>
        <v>55</v>
      </c>
      <c r="D19" s="25">
        <f>Table2[[#This Row],[px]]</f>
        <v>0.96538429446450402</v>
      </c>
      <c r="E19" s="25">
        <f>IF(Inputs!$D$10&gt;=Premium_Calculations!B19,1/((1+Inputs!$D$12)^(Premium_Calculations!B19-1)),0)</f>
        <v>0.48101709809097021</v>
      </c>
      <c r="F19" s="25">
        <f>IF(Inputs!$D$10&gt;=Premium_Calculations!B19,D18*E19,0)</f>
        <v>0.46645092103200642</v>
      </c>
      <c r="G19" s="47">
        <f>IF(Inputs!$D$10&gt;=Premium_Calculations!B19,(Premium!$C$17/Premium!$C$18)*F19,0)</f>
        <v>236.4231620943923</v>
      </c>
      <c r="H19" s="27">
        <v>0</v>
      </c>
      <c r="I19" s="27">
        <f ca="1">IF(Inputs!$D$10&gt;=Premium_Calculations!B19,Premium!$C$28*Inputs!$D$14*F19,0)</f>
        <v>17.116048819777841</v>
      </c>
      <c r="J19" s="27">
        <v>0</v>
      </c>
      <c r="K19" s="27">
        <f ca="1">IF(Inputs!$D$10&gt;=Premium_Calculations!B19,Premium!$C$28*Inputs!$D$16*F19,0)</f>
        <v>14.263374016481535</v>
      </c>
      <c r="L19" s="47">
        <f ca="1">IF(Inputs!$D$10&gt;=Premium_Calculations!B19,Premium!$C$28*Inputs!$D$17*F19,0)</f>
        <v>0</v>
      </c>
      <c r="M19" s="49">
        <f t="shared" ca="1" si="0"/>
        <v>267.80258493065168</v>
      </c>
    </row>
    <row r="20" spans="2:13">
      <c r="B20" s="30">
        <v>17</v>
      </c>
      <c r="C20" s="7">
        <f t="shared" si="1"/>
        <v>56</v>
      </c>
      <c r="D20" s="25">
        <f>Table2[[#This Row],[px]]</f>
        <v>0.96053323838481985</v>
      </c>
      <c r="E20" s="25">
        <f>IF(Inputs!$D$10&gt;=Premium_Calculations!B20,1/((1+Inputs!$D$12)^(Premium_Calculations!B20-1)),0)</f>
        <v>0.45811152199140021</v>
      </c>
      <c r="F20" s="25">
        <f>IF(Inputs!$D$10&gt;=Premium_Calculations!B20,D19*E20,0)</f>
        <v>0.44225366844372799</v>
      </c>
      <c r="G20" s="47">
        <f>IF(Inputs!$D$10&gt;=Premium_Calculations!B20,(Premium!$C$17/Premium!$C$18)*F20,0)</f>
        <v>224.15865426951663</v>
      </c>
      <c r="H20" s="27">
        <v>0</v>
      </c>
      <c r="I20" s="27">
        <f ca="1">IF(Inputs!$D$10&gt;=Premium_Calculations!B20,Premium!$C$28*Inputs!$D$14*F20,0)</f>
        <v>16.228149712002146</v>
      </c>
      <c r="J20" s="27">
        <v>0</v>
      </c>
      <c r="K20" s="27">
        <f ca="1">IF(Inputs!$D$10&gt;=Premium_Calculations!B20,Premium!$C$28*Inputs!$D$16*F20,0)</f>
        <v>13.523458093335124</v>
      </c>
      <c r="L20" s="47">
        <f ca="1">IF(Inputs!$D$10&gt;=Premium_Calculations!B20,Premium!$C$28*Inputs!$D$17*F20,0)</f>
        <v>0</v>
      </c>
      <c r="M20" s="49">
        <f t="shared" ca="1" si="0"/>
        <v>253.9102620748539</v>
      </c>
    </row>
    <row r="21" spans="2:13">
      <c r="B21" s="30">
        <v>18</v>
      </c>
      <c r="C21" s="7">
        <f t="shared" si="1"/>
        <v>57</v>
      </c>
      <c r="D21" s="25">
        <f>Table2[[#This Row],[px]]</f>
        <v>0.95510622558794567</v>
      </c>
      <c r="E21" s="25">
        <f>IF(Inputs!$D$10&gt;=Premium_Calculations!B21,1/((1+Inputs!$D$12)^(Premium_Calculations!B21-1)),0)</f>
        <v>0.43629668761085727</v>
      </c>
      <c r="F21" s="25">
        <f>IF(Inputs!$D$10&gt;=Premium_Calculations!B21,D20*E21,0)</f>
        <v>0.41907747024742686</v>
      </c>
      <c r="G21" s="47">
        <f>IF(Inputs!$D$10&gt;=Premium_Calculations!B21,(Premium!$C$17/Premium!$C$18)*F21,0)</f>
        <v>212.41167336363074</v>
      </c>
      <c r="H21" s="27">
        <v>0</v>
      </c>
      <c r="I21" s="27">
        <f ca="1">IF(Inputs!$D$10&gt;=Premium_Calculations!B21,Premium!$C$28*Inputs!$D$14*F21,0)</f>
        <v>15.377717390189844</v>
      </c>
      <c r="J21" s="27">
        <v>0</v>
      </c>
      <c r="K21" s="27">
        <f ca="1">IF(Inputs!$D$10&gt;=Premium_Calculations!B21,Premium!$C$28*Inputs!$D$16*F21,0)</f>
        <v>12.814764491824869</v>
      </c>
      <c r="L21" s="47">
        <f ca="1">IF(Inputs!$D$10&gt;=Premium_Calculations!B21,Premium!$C$28*Inputs!$D$17*F21,0)</f>
        <v>0</v>
      </c>
      <c r="M21" s="49">
        <f t="shared" ca="1" si="0"/>
        <v>240.60415524564544</v>
      </c>
    </row>
    <row r="22" spans="2:13">
      <c r="B22" s="30">
        <v>19</v>
      </c>
      <c r="C22" s="7">
        <f t="shared" si="1"/>
        <v>58</v>
      </c>
      <c r="D22" s="25">
        <f>Table2[[#This Row],[px]]</f>
        <v>0.94903939084301103</v>
      </c>
      <c r="E22" s="25">
        <f>IF(Inputs!$D$10&gt;=Premium_Calculations!B22,1/((1+Inputs!$D$12)^(Premium_Calculations!B22-1)),0)</f>
        <v>0.41552065486748313</v>
      </c>
      <c r="F22" s="25">
        <f>IF(Inputs!$D$10&gt;=Premium_Calculations!B22,D21*E22,0)</f>
        <v>0.39686636432431327</v>
      </c>
      <c r="G22" s="47">
        <f>IF(Inputs!$D$10&gt;=Premium_Calculations!B22,(Premium!$C$17/Premium!$C$18)*F22,0)</f>
        <v>201.15385467535833</v>
      </c>
      <c r="H22" s="27">
        <v>0</v>
      </c>
      <c r="I22" s="27">
        <f ca="1">IF(Inputs!$D$10&gt;=Premium_Calculations!B22,Premium!$C$28*Inputs!$D$14*F22,0)</f>
        <v>14.562698368509782</v>
      </c>
      <c r="J22" s="27">
        <v>0</v>
      </c>
      <c r="K22" s="27">
        <f ca="1">IF(Inputs!$D$10&gt;=Premium_Calculations!B22,Premium!$C$28*Inputs!$D$16*F22,0)</f>
        <v>12.135581973758152</v>
      </c>
      <c r="L22" s="47">
        <f ca="1">IF(Inputs!$D$10&gt;=Premium_Calculations!B22,Premium!$C$28*Inputs!$D$17*F22,0)</f>
        <v>0</v>
      </c>
      <c r="M22" s="49">
        <f t="shared" ca="1" si="0"/>
        <v>227.85213501762627</v>
      </c>
    </row>
    <row r="23" spans="2:13">
      <c r="B23" s="30">
        <v>20</v>
      </c>
      <c r="C23" s="7">
        <f t="shared" si="1"/>
        <v>59</v>
      </c>
      <c r="D23" s="25">
        <f>Table2[[#This Row],[px]]</f>
        <v>0.94226324959239194</v>
      </c>
      <c r="E23" s="25">
        <f>IF(Inputs!$D$10&gt;=Premium_Calculations!B23,1/((1+Inputs!$D$12)^(Premium_Calculations!B23-1)),0)</f>
        <v>0.39573395701665059</v>
      </c>
      <c r="F23" s="25">
        <f>IF(Inputs!$D$10&gt;=Premium_Calculations!B23,D22*E23,0)</f>
        <v>0.37556711350297639</v>
      </c>
      <c r="G23" s="47">
        <f>IF(Inputs!$D$10&gt;=Premium_Calculations!B23,(Premium!$C$17/Premium!$C$18)*F23,0)</f>
        <v>190.35821465758139</v>
      </c>
      <c r="H23" s="27">
        <v>0</v>
      </c>
      <c r="I23" s="27">
        <f ca="1">IF(Inputs!$D$10&gt;=Premium_Calculations!B23,Premium!$C$28*Inputs!$D$14*F23,0)</f>
        <v>13.781139150926673</v>
      </c>
      <c r="J23" s="27">
        <v>0</v>
      </c>
      <c r="K23" s="27">
        <f ca="1">IF(Inputs!$D$10&gt;=Premium_Calculations!B23,Premium!$C$28*Inputs!$D$16*F23,0)</f>
        <v>11.484282625772229</v>
      </c>
      <c r="L23" s="47">
        <f ca="1">IF(Inputs!$D$10&gt;=Premium_Calculations!B23,Premium!$C$28*Inputs!$D$17*F23,0)</f>
        <v>0</v>
      </c>
      <c r="M23" s="49">
        <f t="shared" ca="1" si="0"/>
        <v>215.62363643428029</v>
      </c>
    </row>
    <row r="24" spans="2:13">
      <c r="B24" s="30">
        <v>21</v>
      </c>
      <c r="C24" s="7">
        <f t="shared" si="1"/>
        <v>60</v>
      </c>
      <c r="D24" s="25">
        <f>Table2[[#This Row],[px]]</f>
        <v>0.9347044138041618</v>
      </c>
      <c r="E24" s="25">
        <f>IF(Inputs!$D$10&gt;=Premium_Calculations!B24,1/((1+Inputs!$D$12)^(Premium_Calculations!B24-1)),0)</f>
        <v>0</v>
      </c>
      <c r="F24" s="25">
        <f>IF(Inputs!$D$10&gt;=Premium_Calculations!B24,D23*E24,0)</f>
        <v>0</v>
      </c>
      <c r="G24" s="47">
        <f>IF(Inputs!$D$10&gt;=Premium_Calculations!B24,(Premium!$C$17/Premium!$C$18)*F24,0)</f>
        <v>0</v>
      </c>
      <c r="H24" s="27">
        <v>0</v>
      </c>
      <c r="I24" s="27">
        <f>IF(Inputs!$D$10&gt;=Premium_Calculations!B24,Premium!$C$28*Inputs!$D$14*F24,0)</f>
        <v>0</v>
      </c>
      <c r="J24" s="27">
        <v>0</v>
      </c>
      <c r="K24" s="27">
        <f>IF(Inputs!$D$10&gt;=Premium_Calculations!B24,Premium!$C$28*Inputs!$D$16*F24,0)</f>
        <v>0</v>
      </c>
      <c r="L24" s="47">
        <f>IF(Inputs!$D$10&gt;=Premium_Calculations!B24,Premium!$C$28*Inputs!$D$17*F24,0)</f>
        <v>0</v>
      </c>
      <c r="M24" s="49">
        <f t="shared" si="0"/>
        <v>0</v>
      </c>
    </row>
    <row r="25" spans="2:13">
      <c r="B25" s="30">
        <v>22</v>
      </c>
      <c r="C25" s="7">
        <f t="shared" si="1"/>
        <v>61</v>
      </c>
      <c r="D25" s="25">
        <f>Table2[[#This Row],[px]]</f>
        <v>0.92628366174020016</v>
      </c>
      <c r="E25" s="25">
        <f>IF(Inputs!$D$10&gt;=Premium_Calculations!B25,1/((1+Inputs!$D$12)^(Premium_Calculations!B25-1)),0)</f>
        <v>0</v>
      </c>
      <c r="F25" s="25">
        <f>IF(Inputs!$D$10&gt;=Premium_Calculations!B25,D24*E25,0)</f>
        <v>0</v>
      </c>
      <c r="G25" s="47">
        <f>IF(Inputs!$D$10&gt;=Premium_Calculations!B25,(Premium!$C$17/Premium!$C$18)*F25,0)</f>
        <v>0</v>
      </c>
      <c r="H25" s="27">
        <v>0</v>
      </c>
      <c r="I25" s="27">
        <f>IF(Inputs!$D$10&gt;=Premium_Calculations!B25,Premium!$C$28*Inputs!$D$14*F25,0)</f>
        <v>0</v>
      </c>
      <c r="J25" s="27">
        <v>0</v>
      </c>
      <c r="K25" s="27">
        <f>IF(Inputs!$D$10&gt;=Premium_Calculations!B25,Premium!$C$28*Inputs!$D$16*F25,0)</f>
        <v>0</v>
      </c>
      <c r="L25" s="47">
        <f>IF(Inputs!$D$10&gt;=Premium_Calculations!B25,Premium!$C$28*Inputs!$D$17*F25,0)</f>
        <v>0</v>
      </c>
      <c r="M25" s="49">
        <f t="shared" si="0"/>
        <v>0</v>
      </c>
    </row>
    <row r="26" spans="2:13">
      <c r="B26" s="30">
        <v>23</v>
      </c>
      <c r="C26" s="7">
        <f t="shared" si="1"/>
        <v>62</v>
      </c>
      <c r="D26" s="25">
        <f>Table2[[#This Row],[px]]</f>
        <v>0.91691708135268324</v>
      </c>
      <c r="E26" s="25">
        <f>IF(Inputs!$D$10&gt;=Premium_Calculations!B26,1/((1+Inputs!$D$12)^(Premium_Calculations!B26-1)),0)</f>
        <v>0</v>
      </c>
      <c r="F26" s="25">
        <f>IF(Inputs!$D$10&gt;=Premium_Calculations!B26,D25*E26,0)</f>
        <v>0</v>
      </c>
      <c r="G26" s="47">
        <f>IF(Inputs!$D$10&gt;=Premium_Calculations!B26,(Premium!$C$17/Premium!$C$18)*F26,0)</f>
        <v>0</v>
      </c>
      <c r="H26" s="27">
        <v>0</v>
      </c>
      <c r="I26" s="27">
        <f>IF(Inputs!$D$10&gt;=Premium_Calculations!B26,Premium!$C$28*Inputs!$D$14*F26,0)</f>
        <v>0</v>
      </c>
      <c r="J26" s="27">
        <v>0</v>
      </c>
      <c r="K26" s="27">
        <f>IF(Inputs!$D$10&gt;=Premium_Calculations!B26,Premium!$C$28*Inputs!$D$16*F26,0)</f>
        <v>0</v>
      </c>
      <c r="L26" s="47">
        <f>IF(Inputs!$D$10&gt;=Premium_Calculations!B26,Premium!$C$28*Inputs!$D$17*F26,0)</f>
        <v>0</v>
      </c>
      <c r="M26" s="49">
        <f t="shared" si="0"/>
        <v>0</v>
      </c>
    </row>
    <row r="27" spans="2:13">
      <c r="B27" s="30">
        <v>24</v>
      </c>
      <c r="C27" s="7">
        <f t="shared" si="1"/>
        <v>63</v>
      </c>
      <c r="D27" s="25">
        <f>Table2[[#This Row],[px]]</f>
        <v>0.90651557398181837</v>
      </c>
      <c r="E27" s="25">
        <f>IF(Inputs!$D$10&gt;=Premium_Calculations!B27,1/((1+Inputs!$D$12)^(Premium_Calculations!B27-1)),0)</f>
        <v>0</v>
      </c>
      <c r="F27" s="25">
        <f>IF(Inputs!$D$10&gt;=Premium_Calculations!B27,D26*E27,0)</f>
        <v>0</v>
      </c>
      <c r="G27" s="47">
        <f>IF(Inputs!$D$10&gt;=Premium_Calculations!B27,(Premium!$C$17/Premium!$C$18)*F27,0)</f>
        <v>0</v>
      </c>
      <c r="H27" s="27">
        <v>0</v>
      </c>
      <c r="I27" s="27">
        <f>IF(Inputs!$D$10&gt;=Premium_Calculations!B27,Premium!$C$28*Inputs!$D$14*F27,0)</f>
        <v>0</v>
      </c>
      <c r="J27" s="27">
        <v>0</v>
      </c>
      <c r="K27" s="27">
        <f>IF(Inputs!$D$10&gt;=Premium_Calculations!B27,Premium!$C$28*Inputs!$D$16*F27,0)</f>
        <v>0</v>
      </c>
      <c r="L27" s="47">
        <f>IF(Inputs!$D$10&gt;=Premium_Calculations!B27,Premium!$C$28*Inputs!$D$17*F27,0)</f>
        <v>0</v>
      </c>
      <c r="M27" s="49">
        <f t="shared" si="0"/>
        <v>0</v>
      </c>
    </row>
    <row r="28" spans="2:13">
      <c r="B28" s="30">
        <v>25</v>
      </c>
      <c r="C28" s="7">
        <f t="shared" si="1"/>
        <v>64</v>
      </c>
      <c r="D28" s="25">
        <f>Table2[[#This Row],[px]]</f>
        <v>0.89498832194306555</v>
      </c>
      <c r="E28" s="25">
        <f>IF(Inputs!$D$10&gt;=Premium_Calculations!B28,1/((1+Inputs!$D$12)^(Premium_Calculations!B28-1)),0)</f>
        <v>0</v>
      </c>
      <c r="F28" s="25">
        <f>IF(Inputs!$D$10&gt;=Premium_Calculations!B28,D27*E28,0)</f>
        <v>0</v>
      </c>
      <c r="G28" s="47">
        <f>IF(Inputs!$D$10&gt;=Premium_Calculations!B28,(Premium!$C$17/Premium!$C$18)*F28,0)</f>
        <v>0</v>
      </c>
      <c r="H28" s="27">
        <v>0</v>
      </c>
      <c r="I28" s="27">
        <f>IF(Inputs!$D$10&gt;=Premium_Calculations!B28,Premium!$C$28*Inputs!$D$14*F28,0)</f>
        <v>0</v>
      </c>
      <c r="J28" s="27">
        <v>0</v>
      </c>
      <c r="K28" s="27">
        <f>IF(Inputs!$D$10&gt;=Premium_Calculations!B28,Premium!$C$28*Inputs!$D$16*F28,0)</f>
        <v>0</v>
      </c>
      <c r="L28" s="47">
        <f>IF(Inputs!$D$10&gt;=Premium_Calculations!B28,Premium!$C$28*Inputs!$D$17*F28,0)</f>
        <v>0</v>
      </c>
      <c r="M28" s="49">
        <f t="shared" si="0"/>
        <v>0</v>
      </c>
    </row>
    <row r="29" spans="2:13">
      <c r="B29" s="30">
        <v>26</v>
      </c>
      <c r="C29" s="7">
        <f t="shared" si="1"/>
        <v>65</v>
      </c>
      <c r="D29" s="25">
        <f>Table2[[#This Row],[px]]</f>
        <v>0.88224100327363042</v>
      </c>
      <c r="E29" s="25">
        <f>IF(Inputs!$D$10&gt;=Premium_Calculations!B29,1/((1+Inputs!$D$12)^(Premium_Calculations!B29-1)),0)</f>
        <v>0</v>
      </c>
      <c r="F29" s="25">
        <f>IF(Inputs!$D$10&gt;=Premium_Calculations!B29,D28*E29,0)</f>
        <v>0</v>
      </c>
      <c r="G29" s="47">
        <f>IF(Inputs!$D$10&gt;=Premium_Calculations!B29,(Premium!$C$17/Premium!$C$18)*F29,0)</f>
        <v>0</v>
      </c>
      <c r="H29" s="27">
        <v>0</v>
      </c>
      <c r="I29" s="27">
        <f>IF(Inputs!$D$10&gt;=Premium_Calculations!B29,Premium!$C$28*Inputs!$D$14*F29,0)</f>
        <v>0</v>
      </c>
      <c r="J29" s="27">
        <v>0</v>
      </c>
      <c r="K29" s="27">
        <f>IF(Inputs!$D$10&gt;=Premium_Calculations!B29,Premium!$C$28*Inputs!$D$16*F29,0)</f>
        <v>0</v>
      </c>
      <c r="L29" s="47">
        <f>IF(Inputs!$D$10&gt;=Premium_Calculations!B29,Premium!$C$28*Inputs!$D$17*F29,0)</f>
        <v>0</v>
      </c>
      <c r="M29" s="49">
        <f t="shared" si="0"/>
        <v>0</v>
      </c>
    </row>
    <row r="30" spans="2:13">
      <c r="B30" s="30">
        <v>27</v>
      </c>
      <c r="C30" s="7">
        <f t="shared" si="1"/>
        <v>66</v>
      </c>
      <c r="D30" s="25">
        <f>Table2[[#This Row],[px]]</f>
        <v>0.86817808168144872</v>
      </c>
      <c r="E30" s="25">
        <f>IF(Inputs!$D$10&gt;=Premium_Calculations!B30,1/((1+Inputs!$D$12)^(Premium_Calculations!B30-1)),0)</f>
        <v>0</v>
      </c>
      <c r="F30" s="25">
        <f>IF(Inputs!$D$10&gt;=Premium_Calculations!B30,D29*E30,0)</f>
        <v>0</v>
      </c>
      <c r="G30" s="47">
        <f>IF(Inputs!$D$10&gt;=Premium_Calculations!B30,(Premium!$C$17/Premium!$C$18)*F30,0)</f>
        <v>0</v>
      </c>
      <c r="H30" s="27">
        <v>0</v>
      </c>
      <c r="I30" s="27">
        <f>IF(Inputs!$D$10&gt;=Premium_Calculations!B30,Premium!$C$28*Inputs!$D$14*F30,0)</f>
        <v>0</v>
      </c>
      <c r="J30" s="27">
        <v>0</v>
      </c>
      <c r="K30" s="27">
        <f>IF(Inputs!$D$10&gt;=Premium_Calculations!B30,Premium!$C$28*Inputs!$D$16*F30,0)</f>
        <v>0</v>
      </c>
      <c r="L30" s="47">
        <f>IF(Inputs!$D$10&gt;=Premium_Calculations!B30,Premium!$C$28*Inputs!$D$17*F30,0)</f>
        <v>0</v>
      </c>
      <c r="M30" s="49">
        <f t="shared" si="0"/>
        <v>0</v>
      </c>
    </row>
    <row r="31" spans="2:13">
      <c r="B31" s="30">
        <v>28</v>
      </c>
      <c r="C31" s="7">
        <f t="shared" si="1"/>
        <v>67</v>
      </c>
      <c r="D31" s="25">
        <f>Table2[[#This Row],[px]]</f>
        <v>0.85270367555355853</v>
      </c>
      <c r="E31" s="25">
        <f>IF(Inputs!$D$10&gt;=Premium_Calculations!B31,1/((1+Inputs!$D$12)^(Premium_Calculations!B31-1)),0)</f>
        <v>0</v>
      </c>
      <c r="F31" s="25">
        <f>IF(Inputs!$D$10&gt;=Premium_Calculations!B31,D30*E31,0)</f>
        <v>0</v>
      </c>
      <c r="G31" s="47">
        <f>IF(Inputs!$D$10&gt;=Premium_Calculations!B31,(Premium!$C$17/Premium!$C$18)*F31,0)</f>
        <v>0</v>
      </c>
      <c r="H31" s="27">
        <v>0</v>
      </c>
      <c r="I31" s="27">
        <f>IF(Inputs!$D$10&gt;=Premium_Calculations!B31,Premium!$C$28*Inputs!$D$14*F31,0)</f>
        <v>0</v>
      </c>
      <c r="J31" s="27">
        <v>0</v>
      </c>
      <c r="K31" s="27">
        <f>IF(Inputs!$D$10&gt;=Premium_Calculations!B31,Premium!$C$28*Inputs!$D$16*F31,0)</f>
        <v>0</v>
      </c>
      <c r="L31" s="47">
        <f>IF(Inputs!$D$10&gt;=Premium_Calculations!B31,Premium!$C$28*Inputs!$D$17*F31,0)</f>
        <v>0</v>
      </c>
      <c r="M31" s="49">
        <f t="shared" si="0"/>
        <v>0</v>
      </c>
    </row>
    <row r="32" spans="2:13">
      <c r="B32" s="30">
        <v>29</v>
      </c>
      <c r="C32" s="7">
        <f t="shared" si="1"/>
        <v>68</v>
      </c>
      <c r="D32" s="25">
        <f>Table2[[#This Row],[px]]</f>
        <v>0.83572378726226049</v>
      </c>
      <c r="E32" s="25">
        <f>IF(Inputs!$D$10&gt;=Premium_Calculations!B32,1/((1+Inputs!$D$12)^(Premium_Calculations!B32-1)),0)</f>
        <v>0</v>
      </c>
      <c r="F32" s="25">
        <f>IF(Inputs!$D$10&gt;=Premium_Calculations!B32,D31*E32,0)</f>
        <v>0</v>
      </c>
      <c r="G32" s="47">
        <f>IF(Inputs!$D$10&gt;=Premium_Calculations!B32,(Premium!$C$17/Premium!$C$18)*F32,0)</f>
        <v>0</v>
      </c>
      <c r="H32" s="27">
        <v>0</v>
      </c>
      <c r="I32" s="27">
        <f>IF(Inputs!$D$10&gt;=Premium_Calculations!B32,Premium!$C$28*Inputs!$D$14*F32,0)</f>
        <v>0</v>
      </c>
      <c r="J32" s="27">
        <v>0</v>
      </c>
      <c r="K32" s="27">
        <f>IF(Inputs!$D$10&gt;=Premium_Calculations!B32,Premium!$C$28*Inputs!$D$16*F32,0)</f>
        <v>0</v>
      </c>
      <c r="L32" s="47">
        <f>IF(Inputs!$D$10&gt;=Premium_Calculations!B32,Premium!$C$28*Inputs!$D$17*F32,0)</f>
        <v>0</v>
      </c>
      <c r="M32" s="49">
        <f t="shared" si="0"/>
        <v>0</v>
      </c>
    </row>
    <row r="33" spans="2:13">
      <c r="B33" s="30">
        <v>30</v>
      </c>
      <c r="C33" s="7">
        <f t="shared" si="1"/>
        <v>69</v>
      </c>
      <c r="D33" s="25">
        <f>Table2[[#This Row],[px]]</f>
        <v>0.81714899036656952</v>
      </c>
      <c r="E33" s="25">
        <f>IF(Inputs!$D$10&gt;=Premium_Calculations!B33,1/((1+Inputs!$D$12)^(Premium_Calculations!B33-1)),0)</f>
        <v>0</v>
      </c>
      <c r="F33" s="25">
        <f>IF(Inputs!$D$10&gt;=Premium_Calculations!B33,D32*E33,0)</f>
        <v>0</v>
      </c>
      <c r="G33" s="47">
        <f>IF(Inputs!$D$10&gt;=Premium_Calculations!B33,(Premium!$C$17/Premium!$C$18)*F33,0)</f>
        <v>0</v>
      </c>
      <c r="H33" s="27">
        <v>0</v>
      </c>
      <c r="I33" s="27">
        <f>IF(Inputs!$D$10&gt;=Premium_Calculations!B33,Premium!$C$28*Inputs!$D$14*F33,0)</f>
        <v>0</v>
      </c>
      <c r="J33" s="27">
        <v>0</v>
      </c>
      <c r="K33" s="27">
        <f>IF(Inputs!$D$10&gt;=Premium_Calculations!B33,Premium!$C$28*Inputs!$D$16*F33,0)</f>
        <v>0</v>
      </c>
      <c r="L33" s="47">
        <f>IF(Inputs!$D$10&gt;=Premium_Calculations!B33,Premium!$C$28*Inputs!$D$17*F33,0)</f>
        <v>0</v>
      </c>
      <c r="M33" s="49">
        <f t="shared" si="0"/>
        <v>0</v>
      </c>
    </row>
    <row r="34" spans="2:13">
      <c r="B34" s="30">
        <v>31</v>
      </c>
      <c r="C34" s="7">
        <f t="shared" si="1"/>
        <v>70</v>
      </c>
      <c r="D34" s="25">
        <f>Table2[[#This Row],[px]]</f>
        <v>0</v>
      </c>
      <c r="E34" s="25">
        <f>IF(Inputs!$D$10&gt;=Premium_Calculations!B34,1/((1+Inputs!$D$12)^(Premium_Calculations!B34-1)),0)</f>
        <v>0</v>
      </c>
      <c r="F34" s="25">
        <f>IF(Inputs!$D$10&gt;=Premium_Calculations!B34,D33*E34,0)</f>
        <v>0</v>
      </c>
      <c r="G34" s="47">
        <f>IF(Inputs!$D$10&gt;=Premium_Calculations!B34,(Premium!$C$17/Premium!$C$18)*F34,0)</f>
        <v>0</v>
      </c>
      <c r="H34" s="27">
        <v>0</v>
      </c>
      <c r="I34" s="27">
        <f>IF(Inputs!$D$10&gt;=Premium_Calculations!B34,Premium!$C$28*Inputs!$D$14*F34,0)</f>
        <v>0</v>
      </c>
      <c r="J34" s="27">
        <v>0</v>
      </c>
      <c r="K34" s="27">
        <f>IF(Inputs!$D$10&gt;=Premium_Calculations!B34,Premium!$C$28*Inputs!$D$16*F34,0)</f>
        <v>0</v>
      </c>
      <c r="L34" s="47">
        <f>IF(Inputs!$D$10&gt;=Premium_Calculations!B34,Premium!$C$28*Inputs!$D$17*F34,0)</f>
        <v>0</v>
      </c>
      <c r="M34" s="49">
        <f t="shared" si="0"/>
        <v>0</v>
      </c>
    </row>
    <row r="35" spans="2:13">
      <c r="B35" s="30">
        <v>32</v>
      </c>
      <c r="C35" s="7">
        <f t="shared" si="1"/>
        <v>71</v>
      </c>
      <c r="D35" s="25">
        <f>Table2[[#This Row],[px]]</f>
        <v>0</v>
      </c>
      <c r="E35" s="25">
        <f>IF(Inputs!$D$10&gt;=Premium_Calculations!B35,1/((1+Inputs!$D$12)^(Premium_Calculations!B35-1)),0)</f>
        <v>0</v>
      </c>
      <c r="F35" s="25">
        <f>IF(Inputs!$D$10&gt;=Premium_Calculations!B35,D34*E35,0)</f>
        <v>0</v>
      </c>
      <c r="G35" s="47">
        <f>IF(Inputs!$D$10&gt;=Premium_Calculations!B35,(Premium!$C$17/Premium!$C$18)*F35,0)</f>
        <v>0</v>
      </c>
      <c r="H35" s="27">
        <v>0</v>
      </c>
      <c r="I35" s="27">
        <f>IF(Inputs!$D$10&gt;=Premium_Calculations!B35,Premium!$C$28*Inputs!$D$14*F35,0)</f>
        <v>0</v>
      </c>
      <c r="J35" s="27">
        <v>0</v>
      </c>
      <c r="K35" s="27">
        <f>IF(Inputs!$D$10&gt;=Premium_Calculations!B35,Premium!$C$28*Inputs!$D$16*F35,0)</f>
        <v>0</v>
      </c>
      <c r="L35" s="47">
        <f>IF(Inputs!$D$10&gt;=Premium_Calculations!B35,Premium!$C$28*Inputs!$D$17*F35,0)</f>
        <v>0</v>
      </c>
      <c r="M35" s="49">
        <f t="shared" si="0"/>
        <v>0</v>
      </c>
    </row>
    <row r="36" spans="2:13">
      <c r="B36" s="30">
        <v>33</v>
      </c>
      <c r="C36" s="7">
        <f t="shared" si="1"/>
        <v>72</v>
      </c>
      <c r="D36" s="25">
        <f>Table2[[#This Row],[px]]</f>
        <v>0</v>
      </c>
      <c r="E36" s="25">
        <f>IF(Inputs!$D$10&gt;=Premium_Calculations!B36,1/((1+Inputs!$D$12)^(Premium_Calculations!B36-1)),0)</f>
        <v>0</v>
      </c>
      <c r="F36" s="25">
        <f>IF(Inputs!$D$10&gt;=Premium_Calculations!B36,D35*E36,0)</f>
        <v>0</v>
      </c>
      <c r="G36" s="47">
        <f>IF(Inputs!$D$10&gt;=Premium_Calculations!B36,(Premium!$C$17/Premium!$C$18)*F36,0)</f>
        <v>0</v>
      </c>
      <c r="H36" s="27">
        <v>0</v>
      </c>
      <c r="I36" s="27">
        <f>IF(Inputs!$D$10&gt;=Premium_Calculations!B36,Premium!$C$28*Inputs!$D$14*F36,0)</f>
        <v>0</v>
      </c>
      <c r="J36" s="27">
        <v>0</v>
      </c>
      <c r="K36" s="27">
        <f>IF(Inputs!$D$10&gt;=Premium_Calculations!B36,Premium!$C$28*Inputs!$D$16*F36,0)</f>
        <v>0</v>
      </c>
      <c r="L36" s="47">
        <f>IF(Inputs!$D$10&gt;=Premium_Calculations!B36,Premium!$C$28*Inputs!$D$17*F36,0)</f>
        <v>0</v>
      </c>
      <c r="M36" s="49">
        <f t="shared" ref="M36:M67" si="2">SUM(G36:L36)</f>
        <v>0</v>
      </c>
    </row>
    <row r="37" spans="2:13">
      <c r="B37" s="30">
        <v>34</v>
      </c>
      <c r="C37" s="7">
        <f t="shared" si="1"/>
        <v>73</v>
      </c>
      <c r="D37" s="25">
        <f>Table2[[#This Row],[px]]</f>
        <v>0</v>
      </c>
      <c r="E37" s="25">
        <f>IF(Inputs!$D$10&gt;=Premium_Calculations!B37,1/((1+Inputs!$D$12)^(Premium_Calculations!B37-1)),0)</f>
        <v>0</v>
      </c>
      <c r="F37" s="25">
        <f>IF(Inputs!$D$10&gt;=Premium_Calculations!B37,D36*E37,0)</f>
        <v>0</v>
      </c>
      <c r="G37" s="47">
        <f>IF(Inputs!$D$10&gt;=Premium_Calculations!B37,(Premium!$C$17/Premium!$C$18)*F37,0)</f>
        <v>0</v>
      </c>
      <c r="H37" s="27">
        <v>0</v>
      </c>
      <c r="I37" s="27">
        <f>IF(Inputs!$D$10&gt;=Premium_Calculations!B37,Premium!$C$28*Inputs!$D$14*F37,0)</f>
        <v>0</v>
      </c>
      <c r="J37" s="27">
        <v>0</v>
      </c>
      <c r="K37" s="27">
        <f>IF(Inputs!$D$10&gt;=Premium_Calculations!B37,Premium!$C$28*Inputs!$D$16*F37,0)</f>
        <v>0</v>
      </c>
      <c r="L37" s="47">
        <f>IF(Inputs!$D$10&gt;=Premium_Calculations!B37,Premium!$C$28*Inputs!$D$17*F37,0)</f>
        <v>0</v>
      </c>
      <c r="M37" s="49">
        <f t="shared" si="2"/>
        <v>0</v>
      </c>
    </row>
    <row r="38" spans="2:13">
      <c r="B38" s="30">
        <v>35</v>
      </c>
      <c r="C38" s="7">
        <f t="shared" si="1"/>
        <v>74</v>
      </c>
      <c r="D38" s="25">
        <f>Table2[[#This Row],[px]]</f>
        <v>0</v>
      </c>
      <c r="E38" s="25">
        <f>IF(Inputs!$D$10&gt;=Premium_Calculations!B38,1/((1+Inputs!$D$12)^(Premium_Calculations!B38-1)),0)</f>
        <v>0</v>
      </c>
      <c r="F38" s="25">
        <f>IF(Inputs!$D$10&gt;=Premium_Calculations!B38,D37*E38,0)</f>
        <v>0</v>
      </c>
      <c r="G38" s="47">
        <f>IF(Inputs!$D$10&gt;=Premium_Calculations!B38,(Premium!$C$17/Premium!$C$18)*F38,0)</f>
        <v>0</v>
      </c>
      <c r="H38" s="27">
        <v>0</v>
      </c>
      <c r="I38" s="27">
        <f>IF(Inputs!$D$10&gt;=Premium_Calculations!B38,Premium!$C$28*Inputs!$D$14*F38,0)</f>
        <v>0</v>
      </c>
      <c r="J38" s="27">
        <v>0</v>
      </c>
      <c r="K38" s="27">
        <f>IF(Inputs!$D$10&gt;=Premium_Calculations!B38,Premium!$C$28*Inputs!$D$16*F38,0)</f>
        <v>0</v>
      </c>
      <c r="L38" s="47">
        <f>IF(Inputs!$D$10&gt;=Premium_Calculations!B38,Premium!$C$28*Inputs!$D$17*F38,0)</f>
        <v>0</v>
      </c>
      <c r="M38" s="49">
        <f t="shared" si="2"/>
        <v>0</v>
      </c>
    </row>
    <row r="39" spans="2:13">
      <c r="B39" s="30">
        <v>36</v>
      </c>
      <c r="C39" s="7">
        <f t="shared" si="1"/>
        <v>75</v>
      </c>
      <c r="D39" s="25">
        <f>Table2[[#This Row],[px]]</f>
        <v>0</v>
      </c>
      <c r="E39" s="25">
        <f>IF(Inputs!$D$10&gt;=Premium_Calculations!B39,1/((1+Inputs!$D$12)^(Premium_Calculations!B39-1)),0)</f>
        <v>0</v>
      </c>
      <c r="F39" s="25">
        <f>IF(Inputs!$D$10&gt;=Premium_Calculations!B39,D38*E39,0)</f>
        <v>0</v>
      </c>
      <c r="G39" s="47">
        <f>IF(Inputs!$D$10&gt;=Premium_Calculations!B39,(Premium!$C$17/Premium!$C$18)*F39,0)</f>
        <v>0</v>
      </c>
      <c r="H39" s="27">
        <v>0</v>
      </c>
      <c r="I39" s="27">
        <f>IF(Inputs!$D$10&gt;=Premium_Calculations!B39,Premium!$C$28*Inputs!$D$14*F39,0)</f>
        <v>0</v>
      </c>
      <c r="J39" s="27">
        <v>0</v>
      </c>
      <c r="K39" s="27">
        <f>IF(Inputs!$D$10&gt;=Premium_Calculations!B39,Premium!$C$28*Inputs!$D$16*F39,0)</f>
        <v>0</v>
      </c>
      <c r="L39" s="47">
        <f>IF(Inputs!$D$10&gt;=Premium_Calculations!B39,Premium!$C$28*Inputs!$D$17*F39,0)</f>
        <v>0</v>
      </c>
      <c r="M39" s="49">
        <f t="shared" si="2"/>
        <v>0</v>
      </c>
    </row>
    <row r="40" spans="2:13">
      <c r="B40" s="30">
        <v>37</v>
      </c>
      <c r="C40" s="7">
        <f t="shared" si="1"/>
        <v>76</v>
      </c>
      <c r="D40" s="25">
        <f>Table2[[#This Row],[px]]</f>
        <v>0</v>
      </c>
      <c r="E40" s="25">
        <f>IF(Inputs!$D$10&gt;=Premium_Calculations!B40,1/((1+Inputs!$D$12)^(Premium_Calculations!B40-1)),0)</f>
        <v>0</v>
      </c>
      <c r="F40" s="25">
        <f>IF(Inputs!$D$10&gt;=Premium_Calculations!B40,D39*E40,0)</f>
        <v>0</v>
      </c>
      <c r="G40" s="47">
        <f>IF(Inputs!$D$10&gt;=Premium_Calculations!B40,(Premium!$C$17/Premium!$C$18)*F40,0)</f>
        <v>0</v>
      </c>
      <c r="H40" s="27">
        <v>0</v>
      </c>
      <c r="I40" s="27">
        <f>IF(Inputs!$D$10&gt;=Premium_Calculations!B40,Premium!$C$28*Inputs!$D$14*F40,0)</f>
        <v>0</v>
      </c>
      <c r="J40" s="27">
        <v>0</v>
      </c>
      <c r="K40" s="27">
        <f>IF(Inputs!$D$10&gt;=Premium_Calculations!B40,Premium!$C$28*Inputs!$D$16*F40,0)</f>
        <v>0</v>
      </c>
      <c r="L40" s="47">
        <f>IF(Inputs!$D$10&gt;=Premium_Calculations!B40,Premium!$C$28*Inputs!$D$17*F40,0)</f>
        <v>0</v>
      </c>
      <c r="M40" s="49">
        <f t="shared" si="2"/>
        <v>0</v>
      </c>
    </row>
    <row r="41" spans="2:13">
      <c r="B41" s="30">
        <v>38</v>
      </c>
      <c r="C41" s="7">
        <f t="shared" si="1"/>
        <v>77</v>
      </c>
      <c r="D41" s="25">
        <f>Table2[[#This Row],[px]]</f>
        <v>0</v>
      </c>
      <c r="E41" s="25">
        <f>IF(Inputs!$D$10&gt;=Premium_Calculations!B41,1/((1+Inputs!$D$12)^(Premium_Calculations!B41-1)),0)</f>
        <v>0</v>
      </c>
      <c r="F41" s="25">
        <f>IF(Inputs!$D$10&gt;=Premium_Calculations!B41,D40*E41,0)</f>
        <v>0</v>
      </c>
      <c r="G41" s="47">
        <f>IF(Inputs!$D$10&gt;=Premium_Calculations!B41,(Premium!$C$17/Premium!$C$18)*F41,0)</f>
        <v>0</v>
      </c>
      <c r="H41" s="27">
        <v>0</v>
      </c>
      <c r="I41" s="27">
        <f>IF(Inputs!$D$10&gt;=Premium_Calculations!B41,Premium!$C$28*Inputs!$D$14*F41,0)</f>
        <v>0</v>
      </c>
      <c r="J41" s="27">
        <v>0</v>
      </c>
      <c r="K41" s="27">
        <f>IF(Inputs!$D$10&gt;=Premium_Calculations!B41,Premium!$C$28*Inputs!$D$16*F41,0)</f>
        <v>0</v>
      </c>
      <c r="L41" s="47">
        <f>IF(Inputs!$D$10&gt;=Premium_Calculations!B41,Premium!$C$28*Inputs!$D$17*F41,0)</f>
        <v>0</v>
      </c>
      <c r="M41" s="49">
        <f t="shared" si="2"/>
        <v>0</v>
      </c>
    </row>
    <row r="42" spans="2:13">
      <c r="B42" s="30">
        <v>39</v>
      </c>
      <c r="C42" s="7">
        <f t="shared" si="1"/>
        <v>78</v>
      </c>
      <c r="D42" s="25">
        <f>Table2[[#This Row],[px]]</f>
        <v>0</v>
      </c>
      <c r="E42" s="25">
        <f>IF(Inputs!$D$10&gt;=Premium_Calculations!B42,1/((1+Inputs!$D$12)^(Premium_Calculations!B42-1)),0)</f>
        <v>0</v>
      </c>
      <c r="F42" s="25">
        <f>IF(Inputs!$D$10&gt;=Premium_Calculations!B42,D41*E42,0)</f>
        <v>0</v>
      </c>
      <c r="G42" s="47">
        <f>IF(Inputs!$D$10&gt;=Premium_Calculations!B42,(Premium!$C$17/Premium!$C$18)*F42,0)</f>
        <v>0</v>
      </c>
      <c r="H42" s="27">
        <v>0</v>
      </c>
      <c r="I42" s="27">
        <f>IF(Inputs!$D$10&gt;=Premium_Calculations!B42,Premium!$C$28*Inputs!$D$14*F42,0)</f>
        <v>0</v>
      </c>
      <c r="J42" s="27">
        <v>0</v>
      </c>
      <c r="K42" s="27">
        <f>IF(Inputs!$D$10&gt;=Premium_Calculations!B42,Premium!$C$28*Inputs!$D$16*F42,0)</f>
        <v>0</v>
      </c>
      <c r="L42" s="47">
        <f>IF(Inputs!$D$10&gt;=Premium_Calculations!B42,Premium!$C$28*Inputs!$D$17*F42,0)</f>
        <v>0</v>
      </c>
      <c r="M42" s="49">
        <f t="shared" si="2"/>
        <v>0</v>
      </c>
    </row>
    <row r="43" spans="2:13">
      <c r="B43" s="30">
        <v>40</v>
      </c>
      <c r="C43" s="7">
        <f t="shared" si="1"/>
        <v>79</v>
      </c>
      <c r="D43" s="25">
        <f>Table2[[#This Row],[px]]</f>
        <v>0</v>
      </c>
      <c r="E43" s="25">
        <f>IF(Inputs!$D$10&gt;=Premium_Calculations!B43,1/((1+Inputs!$D$12)^(Premium_Calculations!B43-1)),0)</f>
        <v>0</v>
      </c>
      <c r="F43" s="25">
        <f>IF(Inputs!$D$10&gt;=Premium_Calculations!B43,D42*E43,0)</f>
        <v>0</v>
      </c>
      <c r="G43" s="47">
        <f>IF(Inputs!$D$10&gt;=Premium_Calculations!B43,(Premium!$C$17/Premium!$C$18)*F43,0)</f>
        <v>0</v>
      </c>
      <c r="H43" s="27">
        <v>0</v>
      </c>
      <c r="I43" s="27">
        <f>IF(Inputs!$D$10&gt;=Premium_Calculations!B43,Premium!$C$28*Inputs!$D$14*F43,0)</f>
        <v>0</v>
      </c>
      <c r="J43" s="27">
        <v>0</v>
      </c>
      <c r="K43" s="27">
        <f>IF(Inputs!$D$10&gt;=Premium_Calculations!B43,Premium!$C$28*Inputs!$D$16*F43,0)</f>
        <v>0</v>
      </c>
      <c r="L43" s="47">
        <f>IF(Inputs!$D$10&gt;=Premium_Calculations!B43,Premium!$C$28*Inputs!$D$17*F43,0)</f>
        <v>0</v>
      </c>
      <c r="M43" s="49">
        <f t="shared" si="2"/>
        <v>0</v>
      </c>
    </row>
    <row r="44" spans="2:13">
      <c r="B44" s="30">
        <v>41</v>
      </c>
      <c r="C44" s="7">
        <f t="shared" si="1"/>
        <v>80</v>
      </c>
      <c r="D44" s="25">
        <f>Table2[[#This Row],[px]]</f>
        <v>0</v>
      </c>
      <c r="E44" s="25">
        <f>IF(Inputs!$D$10&gt;=Premium_Calculations!B44,1/((1+Inputs!$D$12)^(Premium_Calculations!B44-1)),0)</f>
        <v>0</v>
      </c>
      <c r="F44" s="25">
        <f>IF(Inputs!$D$10&gt;=Premium_Calculations!B44,D43*E44,0)</f>
        <v>0</v>
      </c>
      <c r="G44" s="47">
        <f>IF(Inputs!$D$10&gt;=Premium_Calculations!B44,(Premium!$C$17/Premium!$C$18)*F44,0)</f>
        <v>0</v>
      </c>
      <c r="H44" s="27">
        <v>0</v>
      </c>
      <c r="I44" s="27">
        <f>IF(Inputs!$D$10&gt;=Premium_Calculations!B44,Premium!$C$28*Inputs!$D$14*F44,0)</f>
        <v>0</v>
      </c>
      <c r="J44" s="27">
        <v>0</v>
      </c>
      <c r="K44" s="27">
        <f>IF(Inputs!$D$10&gt;=Premium_Calculations!B44,Premium!$C$28*Inputs!$D$16*F44,0)</f>
        <v>0</v>
      </c>
      <c r="L44" s="47">
        <f>IF(Inputs!$D$10&gt;=Premium_Calculations!B44,Premium!$C$28*Inputs!$D$17*F44,0)</f>
        <v>0</v>
      </c>
      <c r="M44" s="49">
        <f t="shared" si="2"/>
        <v>0</v>
      </c>
    </row>
    <row r="45" spans="2:13">
      <c r="B45" s="30">
        <v>42</v>
      </c>
      <c r="C45" s="7">
        <f t="shared" si="1"/>
        <v>81</v>
      </c>
      <c r="D45" s="25">
        <f>Table2[[#This Row],[px]]</f>
        <v>0</v>
      </c>
      <c r="E45" s="25">
        <f>IF(Inputs!$D$10&gt;=Premium_Calculations!B45,1/((1+Inputs!$D$12)^(Premium_Calculations!B45-1)),0)</f>
        <v>0</v>
      </c>
      <c r="F45" s="25">
        <f>IF(Inputs!$D$10&gt;=Premium_Calculations!B45,D44*E45,0)</f>
        <v>0</v>
      </c>
      <c r="G45" s="47">
        <f>IF(Inputs!$D$10&gt;=Premium_Calculations!B45,(Premium!$C$17/Premium!$C$18)*F45,0)</f>
        <v>0</v>
      </c>
      <c r="H45" s="27">
        <v>0</v>
      </c>
      <c r="I45" s="27">
        <f>IF(Inputs!$D$10&gt;=Premium_Calculations!B45,Premium!$C$28*Inputs!$D$14*F45,0)</f>
        <v>0</v>
      </c>
      <c r="J45" s="27">
        <v>0</v>
      </c>
      <c r="K45" s="27">
        <f>IF(Inputs!$D$10&gt;=Premium_Calculations!B45,Premium!$C$28*Inputs!$D$16*F45,0)</f>
        <v>0</v>
      </c>
      <c r="L45" s="47">
        <f>IF(Inputs!$D$10&gt;=Premium_Calculations!B45,Premium!$C$28*Inputs!$D$17*F45,0)</f>
        <v>0</v>
      </c>
      <c r="M45" s="49">
        <f t="shared" si="2"/>
        <v>0</v>
      </c>
    </row>
    <row r="46" spans="2:13">
      <c r="B46" s="30">
        <v>43</v>
      </c>
      <c r="C46" s="7">
        <f t="shared" si="1"/>
        <v>82</v>
      </c>
      <c r="D46" s="25">
        <f>Table2[[#This Row],[px]]</f>
        <v>0</v>
      </c>
      <c r="E46" s="25">
        <f>IF(Inputs!$D$10&gt;=Premium_Calculations!B46,1/((1+Inputs!$D$12)^(Premium_Calculations!B46-1)),0)</f>
        <v>0</v>
      </c>
      <c r="F46" s="25">
        <f>IF(Inputs!$D$10&gt;=Premium_Calculations!B46,D45*E46,0)</f>
        <v>0</v>
      </c>
      <c r="G46" s="47">
        <f>IF(Inputs!$D$10&gt;=Premium_Calculations!B46,(Premium!$C$17/Premium!$C$18)*F46,0)</f>
        <v>0</v>
      </c>
      <c r="H46" s="27">
        <v>0</v>
      </c>
      <c r="I46" s="27">
        <f>IF(Inputs!$D$10&gt;=Premium_Calculations!B46,Premium!$C$28*Inputs!$D$14*F46,0)</f>
        <v>0</v>
      </c>
      <c r="J46" s="27">
        <v>0</v>
      </c>
      <c r="K46" s="27">
        <f>IF(Inputs!$D$10&gt;=Premium_Calculations!B46,Premium!$C$28*Inputs!$D$16*F46,0)</f>
        <v>0</v>
      </c>
      <c r="L46" s="47">
        <f>IF(Inputs!$D$10&gt;=Premium_Calculations!B46,Premium!$C$28*Inputs!$D$17*F46,0)</f>
        <v>0</v>
      </c>
      <c r="M46" s="49">
        <f t="shared" si="2"/>
        <v>0</v>
      </c>
    </row>
    <row r="47" spans="2:13">
      <c r="B47" s="30">
        <v>44</v>
      </c>
      <c r="C47" s="7">
        <f t="shared" si="1"/>
        <v>83</v>
      </c>
      <c r="D47" s="25">
        <f>Table2[[#This Row],[px]]</f>
        <v>0</v>
      </c>
      <c r="E47" s="25">
        <f>IF(Inputs!$D$10&gt;=Premium_Calculations!B47,1/((1+Inputs!$D$12)^(Premium_Calculations!B47-1)),0)</f>
        <v>0</v>
      </c>
      <c r="F47" s="25">
        <f>IF(Inputs!$D$10&gt;=Premium_Calculations!B47,D46*E47,0)</f>
        <v>0</v>
      </c>
      <c r="G47" s="47">
        <f>IF(Inputs!$D$10&gt;=Premium_Calculations!B47,(Premium!$C$17/Premium!$C$18)*F47,0)</f>
        <v>0</v>
      </c>
      <c r="H47" s="27">
        <v>0</v>
      </c>
      <c r="I47" s="27">
        <f>IF(Inputs!$D$10&gt;=Premium_Calculations!B47,Premium!$C$28*Inputs!$D$14*F47,0)</f>
        <v>0</v>
      </c>
      <c r="J47" s="27">
        <v>0</v>
      </c>
      <c r="K47" s="27">
        <f>IF(Inputs!$D$10&gt;=Premium_Calculations!B47,Premium!$C$28*Inputs!$D$16*F47,0)</f>
        <v>0</v>
      </c>
      <c r="L47" s="47">
        <f>IF(Inputs!$D$10&gt;=Premium_Calculations!B47,Premium!$C$28*Inputs!$D$17*F47,0)</f>
        <v>0</v>
      </c>
      <c r="M47" s="49">
        <f t="shared" si="2"/>
        <v>0</v>
      </c>
    </row>
    <row r="48" spans="2:13">
      <c r="B48" s="30">
        <v>45</v>
      </c>
      <c r="C48" s="7">
        <f t="shared" si="1"/>
        <v>84</v>
      </c>
      <c r="D48" s="25">
        <f>Table2[[#This Row],[px]]</f>
        <v>0</v>
      </c>
      <c r="E48" s="25">
        <f>IF(Inputs!$D$10&gt;=Premium_Calculations!B48,1/((1+Inputs!$D$12)^(Premium_Calculations!B48-1)),0)</f>
        <v>0</v>
      </c>
      <c r="F48" s="25">
        <f>IF(Inputs!$D$10&gt;=Premium_Calculations!B48,D47*E48,0)</f>
        <v>0</v>
      </c>
      <c r="G48" s="47">
        <f>IF(Inputs!$D$10&gt;=Premium_Calculations!B48,(Premium!$C$17/Premium!$C$18)*F48,0)</f>
        <v>0</v>
      </c>
      <c r="H48" s="27">
        <v>0</v>
      </c>
      <c r="I48" s="27">
        <f>IF(Inputs!$D$10&gt;=Premium_Calculations!B48,Premium!$C$28*Inputs!$D$14*F48,0)</f>
        <v>0</v>
      </c>
      <c r="J48" s="27">
        <v>0</v>
      </c>
      <c r="K48" s="27">
        <f>IF(Inputs!$D$10&gt;=Premium_Calculations!B48,Premium!$C$28*Inputs!$D$16*F48,0)</f>
        <v>0</v>
      </c>
      <c r="L48" s="47">
        <f>IF(Inputs!$D$10&gt;=Premium_Calculations!B48,Premium!$C$28*Inputs!$D$17*F48,0)</f>
        <v>0</v>
      </c>
      <c r="M48" s="49">
        <f t="shared" si="2"/>
        <v>0</v>
      </c>
    </row>
    <row r="49" spans="2:13">
      <c r="B49" s="30">
        <v>46</v>
      </c>
      <c r="C49" s="7">
        <f t="shared" si="1"/>
        <v>85</v>
      </c>
      <c r="D49" s="25">
        <f>Table2[[#This Row],[px]]</f>
        <v>0</v>
      </c>
      <c r="E49" s="25">
        <f>IF(Inputs!$D$10&gt;=Premium_Calculations!B49,1/((1+Inputs!$D$12)^(Premium_Calculations!B49-1)),0)</f>
        <v>0</v>
      </c>
      <c r="F49" s="25">
        <f>IF(Inputs!$D$10&gt;=Premium_Calculations!B49,D48*E49,0)</f>
        <v>0</v>
      </c>
      <c r="G49" s="47">
        <f>IF(Inputs!$D$10&gt;=Premium_Calculations!B49,(Premium!$C$17/Premium!$C$18)*F49,0)</f>
        <v>0</v>
      </c>
      <c r="H49" s="27">
        <v>0</v>
      </c>
      <c r="I49" s="27">
        <f>IF(Inputs!$D$10&gt;=Premium_Calculations!B49,Premium!$C$28*Inputs!$D$14*F49,0)</f>
        <v>0</v>
      </c>
      <c r="J49" s="27">
        <v>0</v>
      </c>
      <c r="K49" s="27">
        <f>IF(Inputs!$D$10&gt;=Premium_Calculations!B49,Premium!$C$28*Inputs!$D$16*F49,0)</f>
        <v>0</v>
      </c>
      <c r="L49" s="47">
        <f>IF(Inputs!$D$10&gt;=Premium_Calculations!B49,Premium!$C$28*Inputs!$D$17*F49,0)</f>
        <v>0</v>
      </c>
      <c r="M49" s="49">
        <f t="shared" si="2"/>
        <v>0</v>
      </c>
    </row>
    <row r="50" spans="2:13">
      <c r="B50" s="30">
        <v>47</v>
      </c>
      <c r="C50" s="7">
        <f t="shared" si="1"/>
        <v>86</v>
      </c>
      <c r="D50" s="25">
        <f>Table2[[#This Row],[px]]</f>
        <v>0</v>
      </c>
      <c r="E50" s="25">
        <f>IF(Inputs!$D$10&gt;=Premium_Calculations!B50,1/((1+Inputs!$D$12)^(Premium_Calculations!B50-1)),0)</f>
        <v>0</v>
      </c>
      <c r="F50" s="25">
        <f>IF(Inputs!$D$10&gt;=Premium_Calculations!B50,D49*E50,0)</f>
        <v>0</v>
      </c>
      <c r="G50" s="47">
        <f>IF(Inputs!$D$10&gt;=Premium_Calculations!B50,(Premium!$C$17/Premium!$C$18)*F50,0)</f>
        <v>0</v>
      </c>
      <c r="H50" s="27">
        <v>0</v>
      </c>
      <c r="I50" s="27">
        <f>IF(Inputs!$D$10&gt;=Premium_Calculations!B50,Premium!$C$28*Inputs!$D$14*F50,0)</f>
        <v>0</v>
      </c>
      <c r="J50" s="27">
        <v>0</v>
      </c>
      <c r="K50" s="27">
        <f>IF(Inputs!$D$10&gt;=Premium_Calculations!B50,Premium!$C$28*Inputs!$D$16*F50,0)</f>
        <v>0</v>
      </c>
      <c r="L50" s="47">
        <f>IF(Inputs!$D$10&gt;=Premium_Calculations!B50,Premium!$C$28*Inputs!$D$17*F50,0)</f>
        <v>0</v>
      </c>
      <c r="M50" s="49">
        <f t="shared" si="2"/>
        <v>0</v>
      </c>
    </row>
    <row r="51" spans="2:13">
      <c r="B51" s="30">
        <v>48</v>
      </c>
      <c r="C51" s="7">
        <f t="shared" si="1"/>
        <v>87</v>
      </c>
      <c r="D51" s="25">
        <f>Table2[[#This Row],[px]]</f>
        <v>0</v>
      </c>
      <c r="E51" s="25">
        <f>IF(Inputs!$D$10&gt;=Premium_Calculations!B51,1/((1+Inputs!$D$12)^(Premium_Calculations!B51-1)),0)</f>
        <v>0</v>
      </c>
      <c r="F51" s="25">
        <f>IF(Inputs!$D$10&gt;=Premium_Calculations!B51,D50*E51,0)</f>
        <v>0</v>
      </c>
      <c r="G51" s="47">
        <f>IF(Inputs!$D$10&gt;=Premium_Calculations!B51,(Premium!$C$17/Premium!$C$18)*F51,0)</f>
        <v>0</v>
      </c>
      <c r="H51" s="27">
        <v>0</v>
      </c>
      <c r="I51" s="27">
        <f>IF(Inputs!$D$10&gt;=Premium_Calculations!B51,Premium!$C$28*Inputs!$D$14*F51,0)</f>
        <v>0</v>
      </c>
      <c r="J51" s="27">
        <v>0</v>
      </c>
      <c r="K51" s="27">
        <f>IF(Inputs!$D$10&gt;=Premium_Calculations!B51,Premium!$C$28*Inputs!$D$16*F51,0)</f>
        <v>0</v>
      </c>
      <c r="L51" s="47">
        <f>IF(Inputs!$D$10&gt;=Premium_Calculations!B51,Premium!$C$28*Inputs!$D$17*F51,0)</f>
        <v>0</v>
      </c>
      <c r="M51" s="49">
        <f t="shared" si="2"/>
        <v>0</v>
      </c>
    </row>
    <row r="52" spans="2:13">
      <c r="B52" s="30">
        <v>49</v>
      </c>
      <c r="C52" s="7">
        <f t="shared" si="1"/>
        <v>88</v>
      </c>
      <c r="D52" s="25">
        <f>Table2[[#This Row],[px]]</f>
        <v>0</v>
      </c>
      <c r="E52" s="25">
        <f>IF(Inputs!$D$10&gt;=Premium_Calculations!B52,1/((1+Inputs!$D$12)^(Premium_Calculations!B52-1)),0)</f>
        <v>0</v>
      </c>
      <c r="F52" s="25">
        <f>IF(Inputs!$D$10&gt;=Premium_Calculations!B52,D51*E52,0)</f>
        <v>0</v>
      </c>
      <c r="G52" s="47">
        <f>IF(Inputs!$D$10&gt;=Premium_Calculations!B52,(Premium!$C$17/Premium!$C$18)*F52,0)</f>
        <v>0</v>
      </c>
      <c r="H52" s="27">
        <v>0</v>
      </c>
      <c r="I52" s="27">
        <f>IF(Inputs!$D$10&gt;=Premium_Calculations!B52,Premium!$C$28*Inputs!$D$14*F52,0)</f>
        <v>0</v>
      </c>
      <c r="J52" s="27">
        <v>0</v>
      </c>
      <c r="K52" s="27">
        <f>IF(Inputs!$D$10&gt;=Premium_Calculations!B52,Premium!$C$28*Inputs!$D$16*F52,0)</f>
        <v>0</v>
      </c>
      <c r="L52" s="47">
        <f>IF(Inputs!$D$10&gt;=Premium_Calculations!B52,Premium!$C$28*Inputs!$D$17*F52,0)</f>
        <v>0</v>
      </c>
      <c r="M52" s="49">
        <f t="shared" si="2"/>
        <v>0</v>
      </c>
    </row>
    <row r="53" spans="2:13">
      <c r="B53" s="30">
        <v>50</v>
      </c>
      <c r="C53" s="7">
        <f t="shared" si="1"/>
        <v>89</v>
      </c>
      <c r="D53" s="25">
        <f>Table2[[#This Row],[px]]</f>
        <v>0</v>
      </c>
      <c r="E53" s="25">
        <f>IF(Inputs!$D$10&gt;=Premium_Calculations!B53,1/((1+Inputs!$D$12)^(Premium_Calculations!B53-1)),0)</f>
        <v>0</v>
      </c>
      <c r="F53" s="25">
        <f>IF(Inputs!$D$10&gt;=Premium_Calculations!B53,D52*E53,0)</f>
        <v>0</v>
      </c>
      <c r="G53" s="47">
        <f>IF(Inputs!$D$10&gt;=Premium_Calculations!B53,(Premium!$C$17/Premium!$C$18)*F53,0)</f>
        <v>0</v>
      </c>
      <c r="H53" s="27">
        <v>0</v>
      </c>
      <c r="I53" s="27">
        <f>IF(Inputs!$D$10&gt;=Premium_Calculations!B53,Premium!$C$28*Inputs!$D$14*F53,0)</f>
        <v>0</v>
      </c>
      <c r="J53" s="27">
        <v>0</v>
      </c>
      <c r="K53" s="27">
        <f>IF(Inputs!$D$10&gt;=Premium_Calculations!B53,Premium!$C$28*Inputs!$D$16*F53,0)</f>
        <v>0</v>
      </c>
      <c r="L53" s="47">
        <f>IF(Inputs!$D$10&gt;=Premium_Calculations!B53,Premium!$C$28*Inputs!$D$17*F53,0)</f>
        <v>0</v>
      </c>
      <c r="M53" s="49">
        <f t="shared" si="2"/>
        <v>0</v>
      </c>
    </row>
    <row r="54" spans="2:13">
      <c r="B54" s="30">
        <v>51</v>
      </c>
      <c r="C54" s="7">
        <f t="shared" si="1"/>
        <v>90</v>
      </c>
      <c r="D54" s="25">
        <f>Table2[[#This Row],[px]]</f>
        <v>0</v>
      </c>
      <c r="E54" s="25">
        <f>IF(Inputs!$D$10&gt;=Premium_Calculations!B54,1/((1+Inputs!$D$12)^(Premium_Calculations!B54-1)),0)</f>
        <v>0</v>
      </c>
      <c r="F54" s="25">
        <f>IF(Inputs!$D$10&gt;=Premium_Calculations!B54,D53*E54,0)</f>
        <v>0</v>
      </c>
      <c r="G54" s="47">
        <f>IF(Inputs!$D$10&gt;=Premium_Calculations!B54,(Premium!$C$17/Premium!$C$18)*F54,0)</f>
        <v>0</v>
      </c>
      <c r="H54" s="27">
        <v>0</v>
      </c>
      <c r="I54" s="27">
        <f>IF(Inputs!$D$10&gt;=Premium_Calculations!B54,Premium!$C$28*Inputs!$D$14*F54,0)</f>
        <v>0</v>
      </c>
      <c r="J54" s="27">
        <v>0</v>
      </c>
      <c r="K54" s="27">
        <f>IF(Inputs!$D$10&gt;=Premium_Calculations!B54,Premium!$C$28*Inputs!$D$16*F54,0)</f>
        <v>0</v>
      </c>
      <c r="L54" s="47">
        <f>IF(Inputs!$D$10&gt;=Premium_Calculations!B54,Premium!$C$28*Inputs!$D$17*F54,0)</f>
        <v>0</v>
      </c>
      <c r="M54" s="49">
        <f t="shared" si="2"/>
        <v>0</v>
      </c>
    </row>
    <row r="55" spans="2:13">
      <c r="B55" s="30">
        <v>52</v>
      </c>
      <c r="C55" s="7">
        <f t="shared" si="1"/>
        <v>91</v>
      </c>
      <c r="D55" s="25">
        <f>Table2[[#This Row],[px]]</f>
        <v>0</v>
      </c>
      <c r="E55" s="25">
        <f>IF(Inputs!$D$10&gt;=Premium_Calculations!B55,1/((1+Inputs!$D$12)^(Premium_Calculations!B55-1)),0)</f>
        <v>0</v>
      </c>
      <c r="F55" s="25">
        <f>IF(Inputs!$D$10&gt;=Premium_Calculations!B55,D54*E55,0)</f>
        <v>0</v>
      </c>
      <c r="G55" s="47">
        <f>IF(Inputs!$D$10&gt;=Premium_Calculations!B55,(Premium!$C$17/Premium!$C$18)*F55,0)</f>
        <v>0</v>
      </c>
      <c r="H55" s="27">
        <v>0</v>
      </c>
      <c r="I55" s="27">
        <f>IF(Inputs!$D$10&gt;=Premium_Calculations!B55,Premium!$C$28*Inputs!$D$14*F55,0)</f>
        <v>0</v>
      </c>
      <c r="J55" s="27">
        <v>0</v>
      </c>
      <c r="K55" s="27">
        <f>IF(Inputs!$D$10&gt;=Premium_Calculations!B55,Premium!$C$28*Inputs!$D$16*F55,0)</f>
        <v>0</v>
      </c>
      <c r="L55" s="47">
        <f>IF(Inputs!$D$10&gt;=Premium_Calculations!B55,Premium!$C$28*Inputs!$D$17*F55,0)</f>
        <v>0</v>
      </c>
      <c r="M55" s="49">
        <f t="shared" si="2"/>
        <v>0</v>
      </c>
    </row>
    <row r="56" spans="2:13">
      <c r="B56" s="30">
        <v>53</v>
      </c>
      <c r="C56" s="7">
        <f t="shared" si="1"/>
        <v>92</v>
      </c>
      <c r="D56" s="25">
        <f>Table2[[#This Row],[px]]</f>
        <v>0</v>
      </c>
      <c r="E56" s="25">
        <f>IF(Inputs!$D$10&gt;=Premium_Calculations!B56,1/((1+Inputs!$D$12)^(Premium_Calculations!B56-1)),0)</f>
        <v>0</v>
      </c>
      <c r="F56" s="25">
        <f>IF(Inputs!$D$10&gt;=Premium_Calculations!B56,D55*E56,0)</f>
        <v>0</v>
      </c>
      <c r="G56" s="47">
        <f>IF(Inputs!$D$10&gt;=Premium_Calculations!B56,(Premium!$C$17/Premium!$C$18)*F56,0)</f>
        <v>0</v>
      </c>
      <c r="H56" s="27">
        <v>0</v>
      </c>
      <c r="I56" s="27">
        <f>IF(Inputs!$D$10&gt;=Premium_Calculations!B56,Premium!$C$28*Inputs!$D$14*F56,0)</f>
        <v>0</v>
      </c>
      <c r="J56" s="27">
        <v>0</v>
      </c>
      <c r="K56" s="27">
        <f>IF(Inputs!$D$10&gt;=Premium_Calculations!B56,Premium!$C$28*Inputs!$D$16*F56,0)</f>
        <v>0</v>
      </c>
      <c r="L56" s="47">
        <f>IF(Inputs!$D$10&gt;=Premium_Calculations!B56,Premium!$C$28*Inputs!$D$17*F56,0)</f>
        <v>0</v>
      </c>
      <c r="M56" s="49">
        <f t="shared" si="2"/>
        <v>0</v>
      </c>
    </row>
    <row r="57" spans="2:13">
      <c r="B57" s="30">
        <v>54</v>
      </c>
      <c r="C57" s="7">
        <f t="shared" si="1"/>
        <v>93</v>
      </c>
      <c r="D57" s="25">
        <f>Table2[[#This Row],[px]]</f>
        <v>0</v>
      </c>
      <c r="E57" s="25">
        <f>IF(Inputs!$D$10&gt;=Premium_Calculations!B57,1/((1+Inputs!$D$12)^(Premium_Calculations!B57-1)),0)</f>
        <v>0</v>
      </c>
      <c r="F57" s="25">
        <f>IF(Inputs!$D$10&gt;=Premium_Calculations!B57,D56*E57,0)</f>
        <v>0</v>
      </c>
      <c r="G57" s="47">
        <f>IF(Inputs!$D$10&gt;=Premium_Calculations!B57,(Premium!$C$17/Premium!$C$18)*F57,0)</f>
        <v>0</v>
      </c>
      <c r="H57" s="27">
        <v>0</v>
      </c>
      <c r="I57" s="27">
        <f>IF(Inputs!$D$10&gt;=Premium_Calculations!B57,Premium!$C$28*Inputs!$D$14*F57,0)</f>
        <v>0</v>
      </c>
      <c r="J57" s="27">
        <v>0</v>
      </c>
      <c r="K57" s="27">
        <f>IF(Inputs!$D$10&gt;=Premium_Calculations!B57,Premium!$C$28*Inputs!$D$16*F57,0)</f>
        <v>0</v>
      </c>
      <c r="L57" s="47">
        <f>IF(Inputs!$D$10&gt;=Premium_Calculations!B57,Premium!$C$28*Inputs!$D$17*F57,0)</f>
        <v>0</v>
      </c>
      <c r="M57" s="49">
        <f t="shared" si="2"/>
        <v>0</v>
      </c>
    </row>
    <row r="58" spans="2:13">
      <c r="B58" s="30">
        <v>55</v>
      </c>
      <c r="C58" s="7">
        <f t="shared" si="1"/>
        <v>94</v>
      </c>
      <c r="D58" s="25">
        <f>Table2[[#This Row],[px]]</f>
        <v>0</v>
      </c>
      <c r="E58" s="25">
        <f>IF(Inputs!$D$10&gt;=Premium_Calculations!B58,1/((1+Inputs!$D$12)^(Premium_Calculations!B58-1)),0)</f>
        <v>0</v>
      </c>
      <c r="F58" s="25">
        <f>IF(Inputs!$D$10&gt;=Premium_Calculations!B58,D57*E58,0)</f>
        <v>0</v>
      </c>
      <c r="G58" s="47">
        <f>IF(Inputs!$D$10&gt;=Premium_Calculations!B58,(Premium!$C$17/Premium!$C$18)*F58,0)</f>
        <v>0</v>
      </c>
      <c r="H58" s="27">
        <v>0</v>
      </c>
      <c r="I58" s="27">
        <f>IF(Inputs!$D$10&gt;=Premium_Calculations!B58,Premium!$C$28*Inputs!$D$14*F58,0)</f>
        <v>0</v>
      </c>
      <c r="J58" s="27">
        <v>0</v>
      </c>
      <c r="K58" s="27">
        <f>IF(Inputs!$D$10&gt;=Premium_Calculations!B58,Premium!$C$28*Inputs!$D$16*F58,0)</f>
        <v>0</v>
      </c>
      <c r="L58" s="47">
        <f>IF(Inputs!$D$10&gt;=Premium_Calculations!B58,Premium!$C$28*Inputs!$D$17*F58,0)</f>
        <v>0</v>
      </c>
      <c r="M58" s="49">
        <f t="shared" si="2"/>
        <v>0</v>
      </c>
    </row>
    <row r="59" spans="2:13">
      <c r="B59" s="30">
        <v>56</v>
      </c>
      <c r="C59" s="7">
        <f t="shared" si="1"/>
        <v>95</v>
      </c>
      <c r="D59" s="25">
        <f>Table2[[#This Row],[px]]</f>
        <v>0</v>
      </c>
      <c r="E59" s="25">
        <f>IF(Inputs!$D$10&gt;=Premium_Calculations!B59,1/((1+Inputs!$D$12)^(Premium_Calculations!B59-1)),0)</f>
        <v>0</v>
      </c>
      <c r="F59" s="25">
        <f>IF(Inputs!$D$10&gt;=Premium_Calculations!B59,D58*E59,0)</f>
        <v>0</v>
      </c>
      <c r="G59" s="47">
        <f>IF(Inputs!$D$10&gt;=Premium_Calculations!B59,(Premium!$C$17/Premium!$C$18)*F59,0)</f>
        <v>0</v>
      </c>
      <c r="H59" s="27">
        <v>0</v>
      </c>
      <c r="I59" s="27">
        <f>IF(Inputs!$D$10&gt;=Premium_Calculations!B59,Premium!$C$28*Inputs!$D$14*F59,0)</f>
        <v>0</v>
      </c>
      <c r="J59" s="27">
        <v>0</v>
      </c>
      <c r="K59" s="27">
        <f>IF(Inputs!$D$10&gt;=Premium_Calculations!B59,Premium!$C$28*Inputs!$D$16*F59,0)</f>
        <v>0</v>
      </c>
      <c r="L59" s="47">
        <f>IF(Inputs!$D$10&gt;=Premium_Calculations!B59,Premium!$C$28*Inputs!$D$17*F59,0)</f>
        <v>0</v>
      </c>
      <c r="M59" s="49">
        <f t="shared" si="2"/>
        <v>0</v>
      </c>
    </row>
    <row r="60" spans="2:13">
      <c r="B60" s="30">
        <v>57</v>
      </c>
      <c r="C60" s="7">
        <f t="shared" si="1"/>
        <v>96</v>
      </c>
      <c r="D60" s="25">
        <f>Table2[[#This Row],[px]]</f>
        <v>0</v>
      </c>
      <c r="E60" s="25">
        <f>IF(Inputs!$D$10&gt;=Premium_Calculations!B60,1/((1+Inputs!$D$12)^(Premium_Calculations!B60-1)),0)</f>
        <v>0</v>
      </c>
      <c r="F60" s="25">
        <f>IF(Inputs!$D$10&gt;=Premium_Calculations!B60,D59*E60,0)</f>
        <v>0</v>
      </c>
      <c r="G60" s="47">
        <f>IF(Inputs!$D$10&gt;=Premium_Calculations!B60,(Premium!$C$17/Premium!$C$18)*F60,0)</f>
        <v>0</v>
      </c>
      <c r="H60" s="27">
        <v>0</v>
      </c>
      <c r="I60" s="27">
        <f>IF(Inputs!$D$10&gt;=Premium_Calculations!B60,Premium!$C$28*Inputs!$D$14*F60,0)</f>
        <v>0</v>
      </c>
      <c r="J60" s="27">
        <v>0</v>
      </c>
      <c r="K60" s="27">
        <f>IF(Inputs!$D$10&gt;=Premium_Calculations!B60,Premium!$C$28*Inputs!$D$16*F60,0)</f>
        <v>0</v>
      </c>
      <c r="L60" s="47">
        <f>IF(Inputs!$D$10&gt;=Premium_Calculations!B60,Premium!$C$28*Inputs!$D$17*F60,0)</f>
        <v>0</v>
      </c>
      <c r="M60" s="49">
        <f t="shared" si="2"/>
        <v>0</v>
      </c>
    </row>
    <row r="61" spans="2:13">
      <c r="B61" s="30">
        <v>58</v>
      </c>
      <c r="C61" s="7">
        <f t="shared" si="1"/>
        <v>97</v>
      </c>
      <c r="D61" s="25">
        <f>Table2[[#This Row],[px]]</f>
        <v>0</v>
      </c>
      <c r="E61" s="25">
        <f>IF(Inputs!$D$10&gt;=Premium_Calculations!B61,1/((1+Inputs!$D$12)^(Premium_Calculations!B61-1)),0)</f>
        <v>0</v>
      </c>
      <c r="F61" s="25">
        <f>IF(Inputs!$D$10&gt;=Premium_Calculations!B61,D60*E61,0)</f>
        <v>0</v>
      </c>
      <c r="G61" s="47">
        <f>IF(Inputs!$D$10&gt;=Premium_Calculations!B61,(Premium!$C$17/Premium!$C$18)*F61,0)</f>
        <v>0</v>
      </c>
      <c r="H61" s="27">
        <v>0</v>
      </c>
      <c r="I61" s="27">
        <f>IF(Inputs!$D$10&gt;=Premium_Calculations!B61,Premium!$C$28*Inputs!$D$14*F61,0)</f>
        <v>0</v>
      </c>
      <c r="J61" s="27">
        <v>0</v>
      </c>
      <c r="K61" s="27">
        <f>IF(Inputs!$D$10&gt;=Premium_Calculations!B61,Premium!$C$28*Inputs!$D$16*F61,0)</f>
        <v>0</v>
      </c>
      <c r="L61" s="47">
        <f>IF(Inputs!$D$10&gt;=Premium_Calculations!B61,Premium!$C$28*Inputs!$D$17*F61,0)</f>
        <v>0</v>
      </c>
      <c r="M61" s="49">
        <f t="shared" si="2"/>
        <v>0</v>
      </c>
    </row>
    <row r="62" spans="2:13">
      <c r="B62" s="30">
        <v>59</v>
      </c>
      <c r="C62" s="7">
        <f t="shared" si="1"/>
        <v>98</v>
      </c>
      <c r="D62" s="25">
        <f>Table2[[#This Row],[px]]</f>
        <v>0</v>
      </c>
      <c r="E62" s="25">
        <f>IF(Inputs!$D$10&gt;=Premium_Calculations!B62,1/((1+Inputs!$D$12)^(Premium_Calculations!B62-1)),0)</f>
        <v>0</v>
      </c>
      <c r="F62" s="25">
        <f>IF(Inputs!$D$10&gt;=Premium_Calculations!B62,D61*E62,0)</f>
        <v>0</v>
      </c>
      <c r="G62" s="47">
        <f>IF(Inputs!$D$10&gt;=Premium_Calculations!B62,(Premium!$C$17/Premium!$C$18)*F62,0)</f>
        <v>0</v>
      </c>
      <c r="H62" s="27">
        <v>0</v>
      </c>
      <c r="I62" s="27">
        <f>IF(Inputs!$D$10&gt;=Premium_Calculations!B62,Premium!$C$28*Inputs!$D$14*F62,0)</f>
        <v>0</v>
      </c>
      <c r="J62" s="27">
        <v>0</v>
      </c>
      <c r="K62" s="27">
        <f>IF(Inputs!$D$10&gt;=Premium_Calculations!B62,Premium!$C$28*Inputs!$D$16*F62,0)</f>
        <v>0</v>
      </c>
      <c r="L62" s="47">
        <f>IF(Inputs!$D$10&gt;=Premium_Calculations!B62,Premium!$C$28*Inputs!$D$17*F62,0)</f>
        <v>0</v>
      </c>
      <c r="M62" s="49">
        <f t="shared" si="2"/>
        <v>0</v>
      </c>
    </row>
    <row r="63" spans="2:13">
      <c r="B63" s="30">
        <v>60</v>
      </c>
      <c r="C63" s="7">
        <f t="shared" si="1"/>
        <v>99</v>
      </c>
      <c r="D63" s="25">
        <f>Table2[[#This Row],[px]]</f>
        <v>0</v>
      </c>
      <c r="E63" s="25">
        <f>IF(Inputs!$D$10&gt;=Premium_Calculations!B63,1/((1+Inputs!$D$12)^(Premium_Calculations!B63-1)),0)</f>
        <v>0</v>
      </c>
      <c r="F63" s="25">
        <f>IF(Inputs!$D$10&gt;=Premium_Calculations!B63,D62*E63,0)</f>
        <v>0</v>
      </c>
      <c r="G63" s="47">
        <f>IF(Inputs!$D$10&gt;=Premium_Calculations!B63,(Premium!$C$17/Premium!$C$18)*F63,0)</f>
        <v>0</v>
      </c>
      <c r="H63" s="27">
        <v>0</v>
      </c>
      <c r="I63" s="27">
        <f>IF(Inputs!$D$10&gt;=Premium_Calculations!B63,Premium!$C$28*Inputs!$D$14*F63,0)</f>
        <v>0</v>
      </c>
      <c r="J63" s="27">
        <v>0</v>
      </c>
      <c r="K63" s="27">
        <f>IF(Inputs!$D$10&gt;=Premium_Calculations!B63,Premium!$C$28*Inputs!$D$16*F63,0)</f>
        <v>0</v>
      </c>
      <c r="L63" s="47">
        <f>IF(Inputs!$D$10&gt;=Premium_Calculations!B63,Premium!$C$28*Inputs!$D$17*F63,0)</f>
        <v>0</v>
      </c>
      <c r="M63" s="49">
        <f t="shared" si="2"/>
        <v>0</v>
      </c>
    </row>
    <row r="64" spans="2:13">
      <c r="B64" s="30">
        <v>61</v>
      </c>
      <c r="C64" s="7">
        <f t="shared" si="1"/>
        <v>100</v>
      </c>
      <c r="D64" s="25">
        <f>Table2[[#This Row],[px]]</f>
        <v>0</v>
      </c>
      <c r="E64" s="25">
        <f>IF(Inputs!$D$10&gt;=Premium_Calculations!B64,1/((1+Inputs!$D$12)^(Premium_Calculations!B64-1)),0)</f>
        <v>0</v>
      </c>
      <c r="F64" s="25">
        <f>IF(Inputs!$D$10&gt;=Premium_Calculations!B64,D63*E64,0)</f>
        <v>0</v>
      </c>
      <c r="G64" s="47">
        <f>IF(Inputs!$D$10&gt;=Premium_Calculations!B64,(Premium!$C$17/Premium!$C$18)*F64,0)</f>
        <v>0</v>
      </c>
      <c r="H64" s="27">
        <v>0</v>
      </c>
      <c r="I64" s="27">
        <f>IF(Inputs!$D$10&gt;=Premium_Calculations!B64,Premium!$C$28*Inputs!$D$14*F64,0)</f>
        <v>0</v>
      </c>
      <c r="J64" s="27">
        <v>0</v>
      </c>
      <c r="K64" s="27">
        <f>IF(Inputs!$D$10&gt;=Premium_Calculations!B64,Premium!$C$28*Inputs!$D$16*F64,0)</f>
        <v>0</v>
      </c>
      <c r="L64" s="47">
        <f>IF(Inputs!$D$10&gt;=Premium_Calculations!B64,Premium!$C$28*Inputs!$D$17*F64,0)</f>
        <v>0</v>
      </c>
      <c r="M64" s="49">
        <f t="shared" si="2"/>
        <v>0</v>
      </c>
    </row>
    <row r="65" spans="2:13">
      <c r="B65" s="30">
        <v>62</v>
      </c>
      <c r="C65" s="7">
        <f t="shared" si="1"/>
        <v>101</v>
      </c>
      <c r="D65" s="25">
        <f>Table2[[#This Row],[px]]</f>
        <v>0</v>
      </c>
      <c r="E65" s="25">
        <f>IF(Inputs!$D$10&gt;=Premium_Calculations!B65,1/((1+Inputs!$D$12)^(Premium_Calculations!B65-1)),0)</f>
        <v>0</v>
      </c>
      <c r="F65" s="25">
        <f>IF(Inputs!$D$10&gt;=Premium_Calculations!B65,D64*E65,0)</f>
        <v>0</v>
      </c>
      <c r="G65" s="47">
        <f>IF(Inputs!$D$10&gt;=Premium_Calculations!B65,(Premium!$C$17/Premium!$C$18)*F65,0)</f>
        <v>0</v>
      </c>
      <c r="H65" s="27">
        <v>0</v>
      </c>
      <c r="I65" s="27">
        <f>IF(Inputs!$D$10&gt;=Premium_Calculations!B65,Premium!$C$28*Inputs!$D$14*F65,0)</f>
        <v>0</v>
      </c>
      <c r="J65" s="27">
        <v>0</v>
      </c>
      <c r="K65" s="27">
        <f>IF(Inputs!$D$10&gt;=Premium_Calculations!B65,Premium!$C$28*Inputs!$D$16*F65,0)</f>
        <v>0</v>
      </c>
      <c r="L65" s="47">
        <f>IF(Inputs!$D$10&gt;=Premium_Calculations!B65,Premium!$C$28*Inputs!$D$17*F65,0)</f>
        <v>0</v>
      </c>
      <c r="M65" s="49">
        <f t="shared" si="2"/>
        <v>0</v>
      </c>
    </row>
    <row r="66" spans="2:13">
      <c r="B66" s="30">
        <v>63</v>
      </c>
      <c r="C66" s="7">
        <f t="shared" si="1"/>
        <v>102</v>
      </c>
      <c r="D66" s="25">
        <f>Table2[[#This Row],[px]]</f>
        <v>0</v>
      </c>
      <c r="E66" s="25">
        <f>IF(Inputs!$D$10&gt;=Premium_Calculations!B66,1/((1+Inputs!$D$12)^(Premium_Calculations!B66-1)),0)</f>
        <v>0</v>
      </c>
      <c r="F66" s="25">
        <f>IF(Inputs!$D$10&gt;=Premium_Calculations!B66,D65*E66,0)</f>
        <v>0</v>
      </c>
      <c r="G66" s="47">
        <f>IF(Inputs!$D$10&gt;=Premium_Calculations!B66,(Premium!$C$17/Premium!$C$18)*F66,0)</f>
        <v>0</v>
      </c>
      <c r="H66" s="27">
        <v>0</v>
      </c>
      <c r="I66" s="27">
        <f>IF(Inputs!$D$10&gt;=Premium_Calculations!B66,Premium!$C$28*Inputs!$D$14*F66,0)</f>
        <v>0</v>
      </c>
      <c r="J66" s="27">
        <v>0</v>
      </c>
      <c r="K66" s="27">
        <f>IF(Inputs!$D$10&gt;=Premium_Calculations!B66,Premium!$C$28*Inputs!$D$16*F66,0)</f>
        <v>0</v>
      </c>
      <c r="L66" s="47">
        <f>IF(Inputs!$D$10&gt;=Premium_Calculations!B66,Premium!$C$28*Inputs!$D$17*F66,0)</f>
        <v>0</v>
      </c>
      <c r="M66" s="49">
        <f t="shared" si="2"/>
        <v>0</v>
      </c>
    </row>
    <row r="67" spans="2:13">
      <c r="B67" s="30">
        <v>64</v>
      </c>
      <c r="C67" s="7">
        <f t="shared" si="1"/>
        <v>103</v>
      </c>
      <c r="D67" s="25">
        <f>Table2[[#This Row],[px]]</f>
        <v>0</v>
      </c>
      <c r="E67" s="25">
        <f>IF(Inputs!$D$10&gt;=Premium_Calculations!B67,1/((1+Inputs!$D$12)^(Premium_Calculations!B67-1)),0)</f>
        <v>0</v>
      </c>
      <c r="F67" s="25">
        <f>IF(Inputs!$D$10&gt;=Premium_Calculations!B67,D66*E67,0)</f>
        <v>0</v>
      </c>
      <c r="G67" s="47">
        <f>IF(Inputs!$D$10&gt;=Premium_Calculations!B67,(Premium!$C$17/Premium!$C$18)*F67,0)</f>
        <v>0</v>
      </c>
      <c r="H67" s="27">
        <v>0</v>
      </c>
      <c r="I67" s="27">
        <f>IF(Inputs!$D$10&gt;=Premium_Calculations!B67,Premium!$C$28*Inputs!$D$14*F67,0)</f>
        <v>0</v>
      </c>
      <c r="J67" s="27">
        <v>0</v>
      </c>
      <c r="K67" s="27">
        <f>IF(Inputs!$D$10&gt;=Premium_Calculations!B67,Premium!$C$28*Inputs!$D$16*F67,0)</f>
        <v>0</v>
      </c>
      <c r="L67" s="47">
        <f>IF(Inputs!$D$10&gt;=Premium_Calculations!B67,Premium!$C$28*Inputs!$D$17*F67,0)</f>
        <v>0</v>
      </c>
      <c r="M67" s="49">
        <f t="shared" si="2"/>
        <v>0</v>
      </c>
    </row>
    <row r="68" spans="2:13">
      <c r="B68" s="30">
        <v>65</v>
      </c>
      <c r="C68" s="7">
        <f t="shared" si="1"/>
        <v>104</v>
      </c>
      <c r="D68" s="25">
        <f>Table2[[#This Row],[px]]</f>
        <v>0</v>
      </c>
      <c r="E68" s="25">
        <f>IF(Inputs!$D$10&gt;=Premium_Calculations!B68,1/((1+Inputs!$D$12)^(Premium_Calculations!B68-1)),0)</f>
        <v>0</v>
      </c>
      <c r="F68" s="25">
        <f>IF(Inputs!$D$10&gt;=Premium_Calculations!B68,D67*E68,0)</f>
        <v>0</v>
      </c>
      <c r="G68" s="47">
        <f>IF(Inputs!$D$10&gt;=Premium_Calculations!B68,(Premium!$C$17/Premium!$C$18)*F68,0)</f>
        <v>0</v>
      </c>
      <c r="H68" s="27">
        <v>0</v>
      </c>
      <c r="I68" s="27">
        <f>IF(Inputs!$D$10&gt;=Premium_Calculations!B68,Premium!$C$28*Inputs!$D$14*F68,0)</f>
        <v>0</v>
      </c>
      <c r="J68" s="27">
        <v>0</v>
      </c>
      <c r="K68" s="27">
        <f>IF(Inputs!$D$10&gt;=Premium_Calculations!B68,Premium!$C$28*Inputs!$D$16*F68,0)</f>
        <v>0</v>
      </c>
      <c r="L68" s="47">
        <f>IF(Inputs!$D$10&gt;=Premium_Calculations!B68,Premium!$C$28*Inputs!$D$17*F68,0)</f>
        <v>0</v>
      </c>
      <c r="M68" s="49">
        <f t="shared" ref="M68:M85" si="3">SUM(G68:L68)</f>
        <v>0</v>
      </c>
    </row>
    <row r="69" spans="2:13">
      <c r="B69" s="30">
        <v>66</v>
      </c>
      <c r="C69" s="7">
        <f t="shared" si="1"/>
        <v>105</v>
      </c>
      <c r="D69" s="25">
        <f>Table2[[#This Row],[px]]</f>
        <v>0</v>
      </c>
      <c r="E69" s="25">
        <f>IF(Inputs!$D$10&gt;=Premium_Calculations!B69,1/((1+Inputs!$D$12)^(Premium_Calculations!B69-1)),0)</f>
        <v>0</v>
      </c>
      <c r="F69" s="25">
        <f>IF(Inputs!$D$10&gt;=Premium_Calculations!B69,D68*E69,0)</f>
        <v>0</v>
      </c>
      <c r="G69" s="47">
        <f>IF(Inputs!$D$10&gt;=Premium_Calculations!B69,(Premium!$C$17/Premium!$C$18)*F69,0)</f>
        <v>0</v>
      </c>
      <c r="H69" s="27">
        <v>0</v>
      </c>
      <c r="I69" s="27">
        <f>IF(Inputs!$D$10&gt;=Premium_Calculations!B69,Premium!$C$28*Inputs!$D$14*F69,0)</f>
        <v>0</v>
      </c>
      <c r="J69" s="27">
        <v>0</v>
      </c>
      <c r="K69" s="27">
        <f>IF(Inputs!$D$10&gt;=Premium_Calculations!B69,Premium!$C$28*Inputs!$D$16*F69,0)</f>
        <v>0</v>
      </c>
      <c r="L69" s="47">
        <f>IF(Inputs!$D$10&gt;=Premium_Calculations!B69,Premium!$C$28*Inputs!$D$17*F69,0)</f>
        <v>0</v>
      </c>
      <c r="M69" s="49">
        <f t="shared" si="3"/>
        <v>0</v>
      </c>
    </row>
    <row r="70" spans="2:13">
      <c r="B70" s="30">
        <v>67</v>
      </c>
      <c r="C70" s="7">
        <f t="shared" ref="C70:C85" si="4">C69+1</f>
        <v>106</v>
      </c>
      <c r="D70" s="25">
        <f>Table2[[#This Row],[px]]</f>
        <v>0</v>
      </c>
      <c r="E70" s="25">
        <f>IF(Inputs!$D$10&gt;=Premium_Calculations!B70,1/((1+Inputs!$D$12)^(Premium_Calculations!B70-1)),0)</f>
        <v>0</v>
      </c>
      <c r="F70" s="25">
        <f>IF(Inputs!$D$10&gt;=Premium_Calculations!B70,D69*E70,0)</f>
        <v>0</v>
      </c>
      <c r="G70" s="47">
        <f>IF(Inputs!$D$10&gt;=Premium_Calculations!B70,(Premium!$C$17/Premium!$C$18)*F70,0)</f>
        <v>0</v>
      </c>
      <c r="H70" s="27">
        <v>0</v>
      </c>
      <c r="I70" s="27">
        <f>IF(Inputs!$D$10&gt;=Premium_Calculations!B70,Premium!$C$28*Inputs!$D$14*F70,0)</f>
        <v>0</v>
      </c>
      <c r="J70" s="27">
        <v>0</v>
      </c>
      <c r="K70" s="27">
        <f>IF(Inputs!$D$10&gt;=Premium_Calculations!B70,Premium!$C$28*Inputs!$D$16*F70,0)</f>
        <v>0</v>
      </c>
      <c r="L70" s="47">
        <f>IF(Inputs!$D$10&gt;=Premium_Calculations!B70,Premium!$C$28*Inputs!$D$17*F70,0)</f>
        <v>0</v>
      </c>
      <c r="M70" s="49">
        <f t="shared" si="3"/>
        <v>0</v>
      </c>
    </row>
    <row r="71" spans="2:13">
      <c r="B71" s="30">
        <v>68</v>
      </c>
      <c r="C71" s="7">
        <f t="shared" si="4"/>
        <v>107</v>
      </c>
      <c r="D71" s="25">
        <f>Table2[[#This Row],[px]]</f>
        <v>0</v>
      </c>
      <c r="E71" s="25">
        <f>IF(Inputs!$D$10&gt;=Premium_Calculations!B71,1/((1+Inputs!$D$12)^(Premium_Calculations!B71-1)),0)</f>
        <v>0</v>
      </c>
      <c r="F71" s="25">
        <f>IF(Inputs!$D$10&gt;=Premium_Calculations!B71,D70*E71,0)</f>
        <v>0</v>
      </c>
      <c r="G71" s="47">
        <f>IF(Inputs!$D$10&gt;=Premium_Calculations!B71,(Premium!$C$17/Premium!$C$18)*F71,0)</f>
        <v>0</v>
      </c>
      <c r="H71" s="27">
        <v>0</v>
      </c>
      <c r="I71" s="27">
        <f>IF(Inputs!$D$10&gt;=Premium_Calculations!B71,Premium!$C$28*Inputs!$D$14*F71,0)</f>
        <v>0</v>
      </c>
      <c r="J71" s="27">
        <v>0</v>
      </c>
      <c r="K71" s="27">
        <f>IF(Inputs!$D$10&gt;=Premium_Calculations!B71,Premium!$C$28*Inputs!$D$16*F71,0)</f>
        <v>0</v>
      </c>
      <c r="L71" s="47">
        <f>IF(Inputs!$D$10&gt;=Premium_Calculations!B71,Premium!$C$28*Inputs!$D$17*F71,0)</f>
        <v>0</v>
      </c>
      <c r="M71" s="49">
        <f t="shared" si="3"/>
        <v>0</v>
      </c>
    </row>
    <row r="72" spans="2:13">
      <c r="B72" s="30">
        <v>69</v>
      </c>
      <c r="C72" s="7">
        <f t="shared" si="4"/>
        <v>108</v>
      </c>
      <c r="D72" s="25">
        <f>Table2[[#This Row],[px]]</f>
        <v>0</v>
      </c>
      <c r="E72" s="25">
        <f>IF(Inputs!$D$10&gt;=Premium_Calculations!B72,1/((1+Inputs!$D$12)^(Premium_Calculations!B72-1)),0)</f>
        <v>0</v>
      </c>
      <c r="F72" s="25">
        <f>IF(Inputs!$D$10&gt;=Premium_Calculations!B72,D71*E72,0)</f>
        <v>0</v>
      </c>
      <c r="G72" s="47">
        <f>IF(Inputs!$D$10&gt;=Premium_Calculations!B72,(Premium!$C$17/Premium!$C$18)*F72,0)</f>
        <v>0</v>
      </c>
      <c r="H72" s="27">
        <v>0</v>
      </c>
      <c r="I72" s="27">
        <f>IF(Inputs!$D$10&gt;=Premium_Calculations!B72,Premium!$C$28*Inputs!$D$14*F72,0)</f>
        <v>0</v>
      </c>
      <c r="J72" s="27">
        <v>0</v>
      </c>
      <c r="K72" s="27">
        <f>IF(Inputs!$D$10&gt;=Premium_Calculations!B72,Premium!$C$28*Inputs!$D$16*F72,0)</f>
        <v>0</v>
      </c>
      <c r="L72" s="47">
        <f>IF(Inputs!$D$10&gt;=Premium_Calculations!B72,Premium!$C$28*Inputs!$D$17*F72,0)</f>
        <v>0</v>
      </c>
      <c r="M72" s="49">
        <f t="shared" si="3"/>
        <v>0</v>
      </c>
    </row>
    <row r="73" spans="2:13">
      <c r="B73" s="30">
        <v>70</v>
      </c>
      <c r="C73" s="7">
        <f t="shared" si="4"/>
        <v>109</v>
      </c>
      <c r="D73" s="25">
        <f>Table2[[#This Row],[px]]</f>
        <v>0</v>
      </c>
      <c r="E73" s="25">
        <f>IF(Inputs!$D$10&gt;=Premium_Calculations!B73,1/((1+Inputs!$D$12)^(Premium_Calculations!B73-1)),0)</f>
        <v>0</v>
      </c>
      <c r="F73" s="25">
        <f>IF(Inputs!$D$10&gt;=Premium_Calculations!B73,D72*E73,0)</f>
        <v>0</v>
      </c>
      <c r="G73" s="47">
        <f>IF(Inputs!$D$10&gt;=Premium_Calculations!B73,(Premium!$C$17/Premium!$C$18)*F73,0)</f>
        <v>0</v>
      </c>
      <c r="H73" s="27">
        <v>0</v>
      </c>
      <c r="I73" s="27">
        <f>IF(Inputs!$D$10&gt;=Premium_Calculations!B73,Premium!$C$28*Inputs!$D$14*F73,0)</f>
        <v>0</v>
      </c>
      <c r="J73" s="27">
        <v>0</v>
      </c>
      <c r="K73" s="27">
        <f>IF(Inputs!$D$10&gt;=Premium_Calculations!B73,Premium!$C$28*Inputs!$D$16*F73,0)</f>
        <v>0</v>
      </c>
      <c r="L73" s="47">
        <f>IF(Inputs!$D$10&gt;=Premium_Calculations!B73,Premium!$C$28*Inputs!$D$17*F73,0)</f>
        <v>0</v>
      </c>
      <c r="M73" s="49">
        <f t="shared" si="3"/>
        <v>0</v>
      </c>
    </row>
    <row r="74" spans="2:13">
      <c r="B74" s="30">
        <v>71</v>
      </c>
      <c r="C74" s="7">
        <f t="shared" si="4"/>
        <v>110</v>
      </c>
      <c r="D74" s="25">
        <f>Table2[[#This Row],[px]]</f>
        <v>0</v>
      </c>
      <c r="E74" s="25">
        <f>IF(Inputs!$D$10&gt;=Premium_Calculations!B74,1/((1+Inputs!$D$12)^(Premium_Calculations!B74-1)),0)</f>
        <v>0</v>
      </c>
      <c r="F74" s="25">
        <f>IF(Inputs!$D$10&gt;=Premium_Calculations!B74,D73*E74,0)</f>
        <v>0</v>
      </c>
      <c r="G74" s="47">
        <f>IF(Inputs!$D$10&gt;=Premium_Calculations!B74,(Premium!$C$17/Premium!$C$18)*F74,0)</f>
        <v>0</v>
      </c>
      <c r="H74" s="27">
        <v>0</v>
      </c>
      <c r="I74" s="27">
        <f>IF(Inputs!$D$10&gt;=Premium_Calculations!B74,Premium!$C$28*Inputs!$D$14*F74,0)</f>
        <v>0</v>
      </c>
      <c r="J74" s="27">
        <v>0</v>
      </c>
      <c r="K74" s="27">
        <f>IF(Inputs!$D$10&gt;=Premium_Calculations!B74,Premium!$C$28*Inputs!$D$16*F74,0)</f>
        <v>0</v>
      </c>
      <c r="L74" s="47">
        <f>IF(Inputs!$D$10&gt;=Premium_Calculations!B74,Premium!$C$28*Inputs!$D$17*F74,0)</f>
        <v>0</v>
      </c>
      <c r="M74" s="49">
        <f t="shared" si="3"/>
        <v>0</v>
      </c>
    </row>
    <row r="75" spans="2:13">
      <c r="B75" s="30">
        <v>72</v>
      </c>
      <c r="C75" s="7">
        <f t="shared" si="4"/>
        <v>111</v>
      </c>
      <c r="D75" s="25">
        <f>Table2[[#This Row],[px]]</f>
        <v>0</v>
      </c>
      <c r="E75" s="25">
        <f>IF(Inputs!$D$10&gt;=Premium_Calculations!B75,1/((1+Inputs!$D$12)^(Premium_Calculations!B75-1)),0)</f>
        <v>0</v>
      </c>
      <c r="F75" s="25">
        <f>IF(Inputs!$D$10&gt;=Premium_Calculations!B75,D74*E75,0)</f>
        <v>0</v>
      </c>
      <c r="G75" s="47">
        <f>IF(Inputs!$D$10&gt;=Premium_Calculations!B75,(Premium!$C$17/Premium!$C$18)*F75,0)</f>
        <v>0</v>
      </c>
      <c r="H75" s="27">
        <v>0</v>
      </c>
      <c r="I75" s="27">
        <f>IF(Inputs!$D$10&gt;=Premium_Calculations!B75,Premium!$C$28*Inputs!$D$14*F75,0)</f>
        <v>0</v>
      </c>
      <c r="J75" s="27">
        <v>0</v>
      </c>
      <c r="K75" s="27">
        <f>IF(Inputs!$D$10&gt;=Premium_Calculations!B75,Premium!$C$28*Inputs!$D$16*F75,0)</f>
        <v>0</v>
      </c>
      <c r="L75" s="47">
        <f>IF(Inputs!$D$10&gt;=Premium_Calculations!B75,Premium!$C$28*Inputs!$D$17*F75,0)</f>
        <v>0</v>
      </c>
      <c r="M75" s="49">
        <f t="shared" si="3"/>
        <v>0</v>
      </c>
    </row>
    <row r="76" spans="2:13">
      <c r="B76" s="30">
        <v>73</v>
      </c>
      <c r="C76" s="7">
        <f t="shared" si="4"/>
        <v>112</v>
      </c>
      <c r="D76" s="25">
        <f>Table2[[#This Row],[px]]</f>
        <v>0</v>
      </c>
      <c r="E76" s="25">
        <f>IF(Inputs!$D$10&gt;=Premium_Calculations!B76,1/((1+Inputs!$D$12)^(Premium_Calculations!B76-1)),0)</f>
        <v>0</v>
      </c>
      <c r="F76" s="25">
        <f>IF(Inputs!$D$10&gt;=Premium_Calculations!B76,D75*E76,0)</f>
        <v>0</v>
      </c>
      <c r="G76" s="47">
        <f>IF(Inputs!$D$10&gt;=Premium_Calculations!B76,(Premium!$C$17/Premium!$C$18)*F76,0)</f>
        <v>0</v>
      </c>
      <c r="H76" s="27">
        <v>0</v>
      </c>
      <c r="I76" s="27">
        <f>IF(Inputs!$D$10&gt;=Premium_Calculations!B76,Premium!$C$28*Inputs!$D$14*F76,0)</f>
        <v>0</v>
      </c>
      <c r="J76" s="27">
        <v>0</v>
      </c>
      <c r="K76" s="27">
        <f>IF(Inputs!$D$10&gt;=Premium_Calculations!B76,Premium!$C$28*Inputs!$D$16*F76,0)</f>
        <v>0</v>
      </c>
      <c r="L76" s="47">
        <f>IF(Inputs!$D$10&gt;=Premium_Calculations!B76,Premium!$C$28*Inputs!$D$17*F76,0)</f>
        <v>0</v>
      </c>
      <c r="M76" s="49">
        <f t="shared" si="3"/>
        <v>0</v>
      </c>
    </row>
    <row r="77" spans="2:13">
      <c r="B77" s="30">
        <v>74</v>
      </c>
      <c r="C77" s="7">
        <f t="shared" si="4"/>
        <v>113</v>
      </c>
      <c r="D77" s="25">
        <f>Table2[[#This Row],[px]]</f>
        <v>0</v>
      </c>
      <c r="E77" s="25">
        <f>IF(Inputs!$D$10&gt;=Premium_Calculations!B77,1/((1+Inputs!$D$12)^(Premium_Calculations!B77-1)),0)</f>
        <v>0</v>
      </c>
      <c r="F77" s="25">
        <f>IF(Inputs!$D$10&gt;=Premium_Calculations!B77,D76*E77,0)</f>
        <v>0</v>
      </c>
      <c r="G77" s="47">
        <f>IF(Inputs!$D$10&gt;=Premium_Calculations!B77,(Premium!$C$17/Premium!$C$18)*F77,0)</f>
        <v>0</v>
      </c>
      <c r="H77" s="27">
        <v>0</v>
      </c>
      <c r="I77" s="27">
        <f>IF(Inputs!$D$10&gt;=Premium_Calculations!B77,Premium!$C$28*Inputs!$D$14*F77,0)</f>
        <v>0</v>
      </c>
      <c r="J77" s="27">
        <v>0</v>
      </c>
      <c r="K77" s="27">
        <f>IF(Inputs!$D$10&gt;=Premium_Calculations!B77,Premium!$C$28*Inputs!$D$16*F77,0)</f>
        <v>0</v>
      </c>
      <c r="L77" s="47">
        <f>IF(Inputs!$D$10&gt;=Premium_Calculations!B77,Premium!$C$28*Inputs!$D$17*F77,0)</f>
        <v>0</v>
      </c>
      <c r="M77" s="49">
        <f t="shared" si="3"/>
        <v>0</v>
      </c>
    </row>
    <row r="78" spans="2:13">
      <c r="B78" s="30">
        <v>75</v>
      </c>
      <c r="C78" s="7">
        <f t="shared" si="4"/>
        <v>114</v>
      </c>
      <c r="D78" s="25">
        <f>Table2[[#This Row],[px]]</f>
        <v>0</v>
      </c>
      <c r="E78" s="25">
        <f>IF(Inputs!$D$10&gt;=Premium_Calculations!B78,1/((1+Inputs!$D$12)^(Premium_Calculations!B78-1)),0)</f>
        <v>0</v>
      </c>
      <c r="F78" s="25">
        <f>IF(Inputs!$D$10&gt;=Premium_Calculations!B78,D77*E78,0)</f>
        <v>0</v>
      </c>
      <c r="G78" s="47">
        <f>IF(Inputs!$D$10&gt;=Premium_Calculations!B78,(Premium!$C$17/Premium!$C$18)*F78,0)</f>
        <v>0</v>
      </c>
      <c r="H78" s="27">
        <v>0</v>
      </c>
      <c r="I78" s="27">
        <f>IF(Inputs!$D$10&gt;=Premium_Calculations!B78,Premium!$C$28*Inputs!$D$14*F78,0)</f>
        <v>0</v>
      </c>
      <c r="J78" s="27">
        <v>0</v>
      </c>
      <c r="K78" s="27">
        <f>IF(Inputs!$D$10&gt;=Premium_Calculations!B78,Premium!$C$28*Inputs!$D$16*F78,0)</f>
        <v>0</v>
      </c>
      <c r="L78" s="47">
        <f>IF(Inputs!$D$10&gt;=Premium_Calculations!B78,Premium!$C$28*Inputs!$D$17*F78,0)</f>
        <v>0</v>
      </c>
      <c r="M78" s="49">
        <f t="shared" si="3"/>
        <v>0</v>
      </c>
    </row>
    <row r="79" spans="2:13">
      <c r="B79" s="30">
        <v>76</v>
      </c>
      <c r="C79" s="7">
        <f t="shared" si="4"/>
        <v>115</v>
      </c>
      <c r="D79" s="25">
        <f>Table2[[#This Row],[px]]</f>
        <v>0</v>
      </c>
      <c r="E79" s="25">
        <f>IF(Inputs!$D$10&gt;=Premium_Calculations!B79,1/((1+Inputs!$D$12)^(Premium_Calculations!B79-1)),0)</f>
        <v>0</v>
      </c>
      <c r="F79" s="25">
        <f>IF(Inputs!$D$10&gt;=Premium_Calculations!B79,D78*E79,0)</f>
        <v>0</v>
      </c>
      <c r="G79" s="47">
        <f>IF(Inputs!$D$10&gt;=Premium_Calculations!B79,(Premium!$C$17/Premium!$C$18)*F79,0)</f>
        <v>0</v>
      </c>
      <c r="H79" s="27">
        <v>0</v>
      </c>
      <c r="I79" s="27">
        <f>IF(Inputs!$D$10&gt;=Premium_Calculations!B79,Premium!$C$28*Inputs!$D$14*F79,0)</f>
        <v>0</v>
      </c>
      <c r="J79" s="27">
        <v>0</v>
      </c>
      <c r="K79" s="27">
        <f>IF(Inputs!$D$10&gt;=Premium_Calculations!B79,Premium!$C$28*Inputs!$D$16*F79,0)</f>
        <v>0</v>
      </c>
      <c r="L79" s="47">
        <f>IF(Inputs!$D$10&gt;=Premium_Calculations!B79,Premium!$C$28*Inputs!$D$17*F79,0)</f>
        <v>0</v>
      </c>
      <c r="M79" s="49">
        <f t="shared" si="3"/>
        <v>0</v>
      </c>
    </row>
    <row r="80" spans="2:13">
      <c r="B80" s="30">
        <v>77</v>
      </c>
      <c r="C80" s="7">
        <f t="shared" si="4"/>
        <v>116</v>
      </c>
      <c r="D80" s="25">
        <f>Table2[[#This Row],[px]]</f>
        <v>0</v>
      </c>
      <c r="E80" s="25">
        <f>IF(Inputs!$D$10&gt;=Premium_Calculations!B80,1/((1+Inputs!$D$12)^(Premium_Calculations!B80-1)),0)</f>
        <v>0</v>
      </c>
      <c r="F80" s="25">
        <f>IF(Inputs!$D$10&gt;=Premium_Calculations!B80,D79*E80,0)</f>
        <v>0</v>
      </c>
      <c r="G80" s="47">
        <f>IF(Inputs!$D$10&gt;=Premium_Calculations!B80,(Premium!$C$17/Premium!$C$18)*F80,0)</f>
        <v>0</v>
      </c>
      <c r="H80" s="27">
        <v>0</v>
      </c>
      <c r="I80" s="27">
        <f>IF(Inputs!$D$10&gt;=Premium_Calculations!B80,Premium!$C$28*Inputs!$D$14*F80,0)</f>
        <v>0</v>
      </c>
      <c r="J80" s="27">
        <v>0</v>
      </c>
      <c r="K80" s="27">
        <f>IF(Inputs!$D$10&gt;=Premium_Calculations!B80,Premium!$C$28*Inputs!$D$16*F80,0)</f>
        <v>0</v>
      </c>
      <c r="L80" s="47">
        <f>IF(Inputs!$D$10&gt;=Premium_Calculations!B80,Premium!$C$28*Inputs!$D$17*F80,0)</f>
        <v>0</v>
      </c>
      <c r="M80" s="49">
        <f t="shared" si="3"/>
        <v>0</v>
      </c>
    </row>
    <row r="81" spans="2:13">
      <c r="B81" s="30">
        <v>78</v>
      </c>
      <c r="C81" s="7">
        <f t="shared" si="4"/>
        <v>117</v>
      </c>
      <c r="D81" s="25">
        <f>Table2[[#This Row],[px]]</f>
        <v>0</v>
      </c>
      <c r="E81" s="25">
        <f>IF(Inputs!$D$10&gt;=Premium_Calculations!B81,1/((1+Inputs!$D$12)^(Premium_Calculations!B81-1)),0)</f>
        <v>0</v>
      </c>
      <c r="F81" s="25">
        <f>IF(Inputs!$D$10&gt;=Premium_Calculations!B81,D80*E81,0)</f>
        <v>0</v>
      </c>
      <c r="G81" s="47">
        <f>IF(Inputs!$D$10&gt;=Premium_Calculations!B81,(Premium!$C$17/Premium!$C$18)*F81,0)</f>
        <v>0</v>
      </c>
      <c r="H81" s="27">
        <v>0</v>
      </c>
      <c r="I81" s="27">
        <f>IF(Inputs!$D$10&gt;=Premium_Calculations!B81,Premium!$C$28*Inputs!$D$14*F81,0)</f>
        <v>0</v>
      </c>
      <c r="J81" s="27">
        <v>0</v>
      </c>
      <c r="K81" s="27">
        <f>IF(Inputs!$D$10&gt;=Premium_Calculations!B81,Premium!$C$28*Inputs!$D$16*F81,0)</f>
        <v>0</v>
      </c>
      <c r="L81" s="47">
        <f>IF(Inputs!$D$10&gt;=Premium_Calculations!B81,Premium!$C$28*Inputs!$D$17*F81,0)</f>
        <v>0</v>
      </c>
      <c r="M81" s="49">
        <f t="shared" si="3"/>
        <v>0</v>
      </c>
    </row>
    <row r="82" spans="2:13">
      <c r="B82" s="30">
        <v>79</v>
      </c>
      <c r="C82" s="7">
        <f t="shared" si="4"/>
        <v>118</v>
      </c>
      <c r="D82" s="25">
        <f>Table2[[#This Row],[px]]</f>
        <v>0</v>
      </c>
      <c r="E82" s="25">
        <f>IF(Inputs!$D$10&gt;=Premium_Calculations!B82,1/((1+Inputs!$D$12)^(Premium_Calculations!B82-1)),0)</f>
        <v>0</v>
      </c>
      <c r="F82" s="25">
        <f>IF(Inputs!$D$10&gt;=Premium_Calculations!B82,D81*E82,0)</f>
        <v>0</v>
      </c>
      <c r="G82" s="47">
        <f>IF(Inputs!$D$10&gt;=Premium_Calculations!B82,(Premium!$C$17/Premium!$C$18)*F82,0)</f>
        <v>0</v>
      </c>
      <c r="H82" s="27">
        <v>0</v>
      </c>
      <c r="I82" s="27">
        <f>IF(Inputs!$D$10&gt;=Premium_Calculations!B82,Premium!$C$28*Inputs!$D$14*F82,0)</f>
        <v>0</v>
      </c>
      <c r="J82" s="27">
        <v>0</v>
      </c>
      <c r="K82" s="27">
        <f>IF(Inputs!$D$10&gt;=Premium_Calculations!B82,Premium!$C$28*Inputs!$D$16*F82,0)</f>
        <v>0</v>
      </c>
      <c r="L82" s="47">
        <f>IF(Inputs!$D$10&gt;=Premium_Calculations!B82,Premium!$C$28*Inputs!$D$17*F82,0)</f>
        <v>0</v>
      </c>
      <c r="M82" s="49">
        <f t="shared" si="3"/>
        <v>0</v>
      </c>
    </row>
    <row r="83" spans="2:13">
      <c r="B83" s="30">
        <v>80</v>
      </c>
      <c r="C83" s="7">
        <f t="shared" si="4"/>
        <v>119</v>
      </c>
      <c r="D83" s="25">
        <f>Table2[[#This Row],[px]]</f>
        <v>0</v>
      </c>
      <c r="E83" s="25">
        <f>IF(Inputs!$D$10&gt;=Premium_Calculations!B83,1/((1+Inputs!$D$12)^(Premium_Calculations!B83-1)),0)</f>
        <v>0</v>
      </c>
      <c r="F83" s="25">
        <f>IF(Inputs!$D$10&gt;=Premium_Calculations!B83,D82*E83,0)</f>
        <v>0</v>
      </c>
      <c r="G83" s="47">
        <f>IF(Inputs!$D$10&gt;=Premium_Calculations!B83,(Premium!$C$17/Premium!$C$18)*F83,0)</f>
        <v>0</v>
      </c>
      <c r="H83" s="27">
        <v>0</v>
      </c>
      <c r="I83" s="27">
        <f>IF(Inputs!$D$10&gt;=Premium_Calculations!B83,Premium!$C$28*Inputs!$D$14*F83,0)</f>
        <v>0</v>
      </c>
      <c r="J83" s="27">
        <v>0</v>
      </c>
      <c r="K83" s="27">
        <f>IF(Inputs!$D$10&gt;=Premium_Calculations!B83,Premium!$C$28*Inputs!$D$16*F83,0)</f>
        <v>0</v>
      </c>
      <c r="L83" s="47">
        <f>IF(Inputs!$D$10&gt;=Premium_Calculations!B83,Premium!$C$28*Inputs!$D$17*F83,0)</f>
        <v>0</v>
      </c>
      <c r="M83" s="49">
        <f t="shared" si="3"/>
        <v>0</v>
      </c>
    </row>
    <row r="84" spans="2:13">
      <c r="B84" s="30">
        <v>81</v>
      </c>
      <c r="C84" s="7">
        <f t="shared" si="4"/>
        <v>120</v>
      </c>
      <c r="D84" s="25">
        <f>Table2[[#This Row],[px]]</f>
        <v>0</v>
      </c>
      <c r="E84" s="25">
        <f>IF(Inputs!$D$10&gt;=Premium_Calculations!B84,1/((1+Inputs!$D$12)^(Premium_Calculations!B84-1)),0)</f>
        <v>0</v>
      </c>
      <c r="F84" s="25">
        <f>IF(Inputs!$D$10&gt;=Premium_Calculations!B84,D83*E84,0)</f>
        <v>0</v>
      </c>
      <c r="G84" s="47">
        <f>IF(Inputs!$D$10&gt;=Premium_Calculations!B84,(Premium!$C$17/Premium!$C$18)*F84,0)</f>
        <v>0</v>
      </c>
      <c r="H84" s="27">
        <v>0</v>
      </c>
      <c r="I84" s="27">
        <f>IF(Inputs!$D$10&gt;=Premium_Calculations!B84,Premium!$C$28*Inputs!$D$14*F84,0)</f>
        <v>0</v>
      </c>
      <c r="J84" s="27">
        <v>0</v>
      </c>
      <c r="K84" s="27">
        <f>IF(Inputs!$D$10&gt;=Premium_Calculations!B84,Premium!$C$28*Inputs!$D$16*F84,0)</f>
        <v>0</v>
      </c>
      <c r="L84" s="47">
        <f>IF(Inputs!$D$10&gt;=Premium_Calculations!B84,Premium!$C$28*Inputs!$D$17*F84,0)</f>
        <v>0</v>
      </c>
      <c r="M84" s="49">
        <f t="shared" si="3"/>
        <v>0</v>
      </c>
    </row>
    <row r="85" spans="2:13" ht="15.75" thickBot="1">
      <c r="B85" s="56">
        <v>82</v>
      </c>
      <c r="C85" s="57">
        <f t="shared" si="4"/>
        <v>121</v>
      </c>
      <c r="D85" s="58">
        <f>Table2[[#This Row],[px]]</f>
        <v>0</v>
      </c>
      <c r="E85" s="58">
        <f>IF(Inputs!$D$10&gt;=Premium_Calculations!B85,1/((1+Inputs!$D$12)^(Premium_Calculations!B85-1)),0)</f>
        <v>0</v>
      </c>
      <c r="F85" s="58">
        <f>IF(Inputs!$D$10&gt;=Premium_Calculations!B85,D84*E85,0)</f>
        <v>0</v>
      </c>
      <c r="G85" s="47">
        <f>IF(Inputs!$D$10&gt;=Premium_Calculations!B85,(Premium!$C$17/Premium!$C$18)*F85,0)</f>
        <v>0</v>
      </c>
      <c r="H85" s="27">
        <v>0</v>
      </c>
      <c r="I85" s="27">
        <f>IF(Inputs!$D$10&gt;=Premium_Calculations!B85,Premium!$C$28*Inputs!$D$14*F85,0)</f>
        <v>0</v>
      </c>
      <c r="J85" s="27">
        <v>0</v>
      </c>
      <c r="K85" s="27">
        <f>IF(Inputs!$D$10&gt;=Premium_Calculations!B85,Premium!$C$28*Inputs!$D$16*F85,0)</f>
        <v>0</v>
      </c>
      <c r="L85" s="47">
        <f>IF(Inputs!$D$10&gt;=Premium_Calculations!B85,Premium!$C$28*Inputs!$D$17*F85,0)</f>
        <v>0</v>
      </c>
      <c r="M85" s="59">
        <f t="shared" si="3"/>
        <v>0</v>
      </c>
    </row>
    <row r="86" spans="2:13" ht="15.75" thickBot="1">
      <c r="B86" s="51" t="s">
        <v>47</v>
      </c>
      <c r="C86" s="52"/>
      <c r="D86" s="52"/>
      <c r="E86" s="60">
        <f>SUM(E4:E85)</f>
        <v>13.085320859666986</v>
      </c>
      <c r="F86" s="60">
        <f>SUM(F4:F85)</f>
        <v>12.903673587050653</v>
      </c>
      <c r="G86" s="53">
        <f>SUM(G4:G85)</f>
        <v>6540.2964696366716</v>
      </c>
      <c r="H86" s="53">
        <f ca="1">SUM(H4:H85)</f>
        <v>183.47105824026653</v>
      </c>
      <c r="I86" s="53">
        <f t="shared" ref="I86:M86" ca="1" si="5">SUM(I4:I85)</f>
        <v>436.79591799257855</v>
      </c>
      <c r="J86" s="53">
        <f ca="1">SUM(J4:J85)</f>
        <v>366.94211648053306</v>
      </c>
      <c r="K86" s="53">
        <f ca="1">SUM(K4:K85)</f>
        <v>363.99659832714883</v>
      </c>
      <c r="L86" s="53">
        <f t="shared" ca="1" si="5"/>
        <v>0</v>
      </c>
      <c r="M86" s="54">
        <f t="shared" ca="1" si="5"/>
        <v>7891.5021606771979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24FB5-4CAB-4F5F-91E6-8E80756E5A2C}">
  <dimension ref="B1:N86"/>
  <sheetViews>
    <sheetView showGridLines="0" zoomScale="80" zoomScaleNormal="80" workbookViewId="0">
      <selection activeCell="N89" sqref="N89"/>
    </sheetView>
  </sheetViews>
  <sheetFormatPr defaultRowHeight="15"/>
  <cols>
    <col min="2" max="2" width="10.7109375" bestFit="1" customWidth="1"/>
    <col min="3" max="3" width="10.7109375" customWidth="1"/>
    <col min="4" max="4" width="15.42578125" bestFit="1" customWidth="1"/>
    <col min="5" max="5" width="18.42578125" bestFit="1" customWidth="1"/>
    <col min="6" max="6" width="19.42578125" bestFit="1" customWidth="1"/>
    <col min="7" max="7" width="19.42578125" customWidth="1"/>
    <col min="8" max="8" width="15" bestFit="1" customWidth="1"/>
    <col min="9" max="9" width="17.7109375" bestFit="1" customWidth="1"/>
    <col min="10" max="10" width="17.7109375" customWidth="1"/>
    <col min="11" max="11" width="20" bestFit="1" customWidth="1"/>
    <col min="12" max="12" width="7.5703125" hidden="1" customWidth="1"/>
    <col min="13" max="13" width="13.7109375" bestFit="1" customWidth="1"/>
    <col min="14" max="14" width="11.42578125" customWidth="1"/>
  </cols>
  <sheetData>
    <row r="1" spans="2:14" ht="15.75" thickBot="1"/>
    <row r="2" spans="2:14" ht="15.75" thickBot="1">
      <c r="D2" s="143" t="s">
        <v>101</v>
      </c>
      <c r="E2" s="145"/>
      <c r="F2" s="143" t="s">
        <v>100</v>
      </c>
      <c r="G2" s="145"/>
      <c r="H2" s="143" t="s">
        <v>49</v>
      </c>
      <c r="I2" s="144"/>
      <c r="J2" s="143" t="s">
        <v>95</v>
      </c>
      <c r="K2" s="145"/>
    </row>
    <row r="3" spans="2:14" s="81" customFormat="1" ht="18" customHeight="1" thickBot="1">
      <c r="B3" s="34" t="s">
        <v>25</v>
      </c>
      <c r="C3" s="35" t="s">
        <v>5</v>
      </c>
      <c r="D3" s="35" t="s">
        <v>52</v>
      </c>
      <c r="E3" s="35" t="s">
        <v>53</v>
      </c>
      <c r="F3" s="35" t="s">
        <v>96</v>
      </c>
      <c r="G3" s="35" t="s">
        <v>97</v>
      </c>
      <c r="H3" s="35" t="s">
        <v>93</v>
      </c>
      <c r="I3" s="35" t="s">
        <v>94</v>
      </c>
      <c r="J3" s="35" t="s">
        <v>98</v>
      </c>
      <c r="K3" s="35" t="s">
        <v>99</v>
      </c>
      <c r="L3" s="35" t="s">
        <v>54</v>
      </c>
      <c r="M3" s="35" t="s">
        <v>55</v>
      </c>
      <c r="N3" s="36" t="s">
        <v>56</v>
      </c>
    </row>
    <row r="4" spans="2:14">
      <c r="B4" s="33">
        <v>1</v>
      </c>
      <c r="C4" s="28">
        <f>Inputs!D7</f>
        <v>40</v>
      </c>
      <c r="D4" s="47">
        <f ca="1">IF(Inputs!$D$10&gt;=Cashflow!B4,Premium!$C$28,0)</f>
        <v>611.57019413422177</v>
      </c>
      <c r="E4" s="47">
        <f ca="1">IF(Inputs!$D$9&gt;=Cashflow!B4,(D4-I4-H4-J4-K4)*Inputs!$D$12,0)</f>
        <v>3.057850970671109</v>
      </c>
      <c r="F4" s="47">
        <f>Table2[[#This Row],[Benefits]]</f>
        <v>93.7</v>
      </c>
      <c r="G4" s="47">
        <v>0</v>
      </c>
      <c r="H4" s="47">
        <f ca="1">Premium!C28*Inputs!$D$13</f>
        <v>183.47105824026653</v>
      </c>
      <c r="I4" s="47">
        <v>0</v>
      </c>
      <c r="J4" s="47">
        <f ca="1">Premium!C28*Inputs!$D$15</f>
        <v>366.94211648053306</v>
      </c>
      <c r="K4" s="47">
        <v>0</v>
      </c>
      <c r="L4" s="47">
        <f ca="1">D4*Premium!$C$23</f>
        <v>183.47105824026653</v>
      </c>
      <c r="M4" s="47">
        <f ca="1">SUM(D4:E4)-SUM(F4:K4)</f>
        <v>-29.485129615906772</v>
      </c>
      <c r="N4" s="48">
        <f ca="1">IF(Inputs!$D$9&gt;=Cashflow!B4,SUM(D4:E4)-SUM(F4:K4),0)</f>
        <v>-29.485129615906772</v>
      </c>
    </row>
    <row r="5" spans="2:14">
      <c r="B5" s="30">
        <v>2</v>
      </c>
      <c r="C5" s="7">
        <f t="shared" ref="C5:C36" si="0">C4+1</f>
        <v>41</v>
      </c>
      <c r="D5" s="27">
        <f ca="1">IF(Inputs!$D$10&gt;=Cashflow!B5,Premium!$C$28*Premium_Calculations!D4,0)</f>
        <v>610.99715286231799</v>
      </c>
      <c r="E5" s="27">
        <f ca="1">IF(Inputs!$D$9&gt;=Cashflow!B5,(D5-I5+N4-K5-H5-J5)*Inputs!$D$12,0)</f>
        <v>25.715116821577819</v>
      </c>
      <c r="F5" s="27">
        <f>Table2[[#This Row],[Benefits]]</f>
        <v>101.3049882</v>
      </c>
      <c r="G5" s="47">
        <v>0</v>
      </c>
      <c r="H5" s="47">
        <v>0</v>
      </c>
      <c r="I5" s="47">
        <f ca="1">IF(Inputs!$D$10&gt;=Cashflow!B5,Premium!$C$28*Inputs!$D$14*Premium_Calculations!D4,0)</f>
        <v>36.659829171739077</v>
      </c>
      <c r="J5" s="47">
        <v>0</v>
      </c>
      <c r="K5" s="47">
        <f ca="1">IF(Inputs!$D$10&gt;=Cashflow!B5,Premium!$C$28*Inputs!$D$16*Premium_Calculations!D4,0)</f>
        <v>30.549857643115899</v>
      </c>
      <c r="L5" s="27">
        <f ca="1">D5*Premium!$C$23</f>
        <v>183.2991458586954</v>
      </c>
      <c r="M5" s="47">
        <f t="shared" ref="M5:M68" ca="1" si="1">SUM(D5:E5)-SUM(F5:K5)</f>
        <v>468.19759466904083</v>
      </c>
      <c r="N5" s="48">
        <f ca="1">IF(Inputs!$D$9&gt;=Cashflow!B5,SUM(D5:E5)-SUM(F5:K5)+N4,0)</f>
        <v>438.71246505313405</v>
      </c>
    </row>
    <row r="6" spans="2:14">
      <c r="B6" s="30">
        <v>3</v>
      </c>
      <c r="C6" s="7">
        <f t="shared" si="0"/>
        <v>42</v>
      </c>
      <c r="D6" s="27">
        <f ca="1">IF(Inputs!$D$10&gt;=Cashflow!B6,Premium!$C$28*Premium_Calculations!D5,0)</f>
        <v>610.37760174931566</v>
      </c>
      <c r="E6" s="27">
        <f ca="1">IF(Inputs!$D$9&gt;=Cashflow!B6,(D6-I6+N5-K6-H6-J6)*Inputs!$D$12,0)</f>
        <v>49.097426530501252</v>
      </c>
      <c r="F6" s="27">
        <f>Table2[[#This Row],[Benefits]]</f>
        <v>110.1847144930272</v>
      </c>
      <c r="G6" s="47">
        <v>0</v>
      </c>
      <c r="H6" s="47">
        <v>0</v>
      </c>
      <c r="I6" s="47">
        <f ca="1">IF(Inputs!$D$10&gt;=Cashflow!B6,Premium!$C$28*Inputs!$D$14*Premium_Calculations!D5,0)</f>
        <v>36.622656104958935</v>
      </c>
      <c r="J6" s="47">
        <v>0</v>
      </c>
      <c r="K6" s="47">
        <f ca="1">IF(Inputs!$D$10&gt;=Cashflow!B6,Premium!$C$28*Inputs!$D$16*Premium_Calculations!D5,0)</f>
        <v>30.518880087465782</v>
      </c>
      <c r="L6" s="27">
        <f ca="1">D6*Premium!$C$23</f>
        <v>183.1132805247947</v>
      </c>
      <c r="M6" s="47">
        <f t="shared" ca="1" si="1"/>
        <v>482.14877759436501</v>
      </c>
      <c r="N6" s="48">
        <f ca="1">IF(Inputs!$D$9&gt;=Cashflow!B6,SUM(D6:E6)-SUM(F6:K6)+N5,0)</f>
        <v>920.86124264749901</v>
      </c>
    </row>
    <row r="7" spans="2:14">
      <c r="B7" s="30">
        <v>4</v>
      </c>
      <c r="C7" s="7">
        <f t="shared" si="0"/>
        <v>43</v>
      </c>
      <c r="D7" s="27">
        <f ca="1">IF(Inputs!$D$10&gt;=Cashflow!B7,Premium!$C$28*Premium_Calculations!D6,0)</f>
        <v>609.70374487698439</v>
      </c>
      <c r="E7" s="27">
        <f ca="1">IF(Inputs!$D$9&gt;=Cashflow!B7,(D7-I7+N6-K7-H7-J7)*Inputs!$D$12,0)</f>
        <v>73.174878779400771</v>
      </c>
      <c r="F7" s="27">
        <f>Table2[[#This Row],[Benefits]]</f>
        <v>120.43133083914684</v>
      </c>
      <c r="G7" s="47">
        <v>0</v>
      </c>
      <c r="H7" s="47">
        <v>0</v>
      </c>
      <c r="I7" s="47">
        <f ca="1">IF(Inputs!$D$10&gt;=Cashflow!B7,Premium!$C$28*Inputs!$D$14*Premium_Calculations!D6,0)</f>
        <v>36.582224692619064</v>
      </c>
      <c r="J7" s="47">
        <v>0</v>
      </c>
      <c r="K7" s="47">
        <f ca="1">IF(Inputs!$D$10&gt;=Cashflow!B7,Premium!$C$28*Inputs!$D$16*Premium_Calculations!D6,0)</f>
        <v>30.485187243849222</v>
      </c>
      <c r="L7" s="27">
        <f ca="1">D7*Premium!$C$23</f>
        <v>182.91112346309532</v>
      </c>
      <c r="M7" s="47">
        <f t="shared" ca="1" si="1"/>
        <v>495.37988088076997</v>
      </c>
      <c r="N7" s="48">
        <f ca="1">IF(Inputs!$D$9&gt;=Cashflow!B7,SUM(D7:E7)-SUM(F7:K7)+N6,0)</f>
        <v>1416.2411235282689</v>
      </c>
    </row>
    <row r="8" spans="2:14">
      <c r="B8" s="30">
        <v>5</v>
      </c>
      <c r="C8" s="7">
        <f t="shared" si="0"/>
        <v>44</v>
      </c>
      <c r="D8" s="27">
        <f ca="1">IF(Inputs!$D$10&gt;=Cashflow!B8,Premium!$C$28*Premium_Calculations!D7,0)</f>
        <v>608.96722275317302</v>
      </c>
      <c r="E8" s="27">
        <f ca="1">IF(Inputs!$D$9&gt;=Cashflow!B8,(D8-I8+N7-K8-H8-J8)*Inputs!$D$12,0)</f>
        <v>97.91109758892965</v>
      </c>
      <c r="F8" s="27">
        <f>Table2[[#This Row],[Benefits]]</f>
        <v>132.13520088850282</v>
      </c>
      <c r="G8" s="47">
        <v>0</v>
      </c>
      <c r="H8" s="47">
        <v>0</v>
      </c>
      <c r="I8" s="47">
        <f ca="1">IF(Inputs!$D$10&gt;=Cashflow!B8,Premium!$C$28*Inputs!$D$14*Premium_Calculations!D7,0)</f>
        <v>36.53803336519038</v>
      </c>
      <c r="J8" s="47">
        <v>0</v>
      </c>
      <c r="K8" s="47">
        <f ca="1">IF(Inputs!$D$10&gt;=Cashflow!B8,Premium!$C$28*Inputs!$D$16*Premium_Calculations!D7,0)</f>
        <v>30.448361137658651</v>
      </c>
      <c r="L8" s="27">
        <f ca="1">D8*Premium!$C$23</f>
        <v>182.69016682595191</v>
      </c>
      <c r="M8" s="47">
        <f t="shared" ca="1" si="1"/>
        <v>507.75672495075082</v>
      </c>
      <c r="N8" s="48">
        <f ca="1">IF(Inputs!$D$9&gt;=Cashflow!B8,SUM(D8:E8)-SUM(F8:K8)+N7,0)</f>
        <v>1923.9978484790197</v>
      </c>
    </row>
    <row r="9" spans="2:14">
      <c r="B9" s="30">
        <v>6</v>
      </c>
      <c r="C9" s="7">
        <f t="shared" si="0"/>
        <v>45</v>
      </c>
      <c r="D9" s="27">
        <f ca="1">IF(Inputs!$D$10&gt;=Cashflow!B9,Premium!$C$28*Premium_Calculations!D8,0)</f>
        <v>608.15912324857959</v>
      </c>
      <c r="E9" s="27">
        <f ca="1">IF(Inputs!$D$9&gt;=Cashflow!B9,(D9-I9+N8-K9-H9-J9)*Inputs!$D$12,0)</f>
        <v>123.26297340851278</v>
      </c>
      <c r="F9" s="27">
        <f>Table2[[#This Row],[Benefits]]</f>
        <v>145.68288711657371</v>
      </c>
      <c r="G9" s="47">
        <v>0</v>
      </c>
      <c r="H9" s="47">
        <v>0</v>
      </c>
      <c r="I9" s="47">
        <f ca="1">IF(Inputs!$D$10&gt;=Cashflow!B9,Premium!$C$28*Inputs!$D$14*Premium_Calculations!D8,0)</f>
        <v>36.489547394914773</v>
      </c>
      <c r="J9" s="47">
        <v>0</v>
      </c>
      <c r="K9" s="47">
        <f ca="1">IF(Inputs!$D$10&gt;=Cashflow!B9,Premium!$C$28*Inputs!$D$16*Premium_Calculations!D8,0)</f>
        <v>30.407956162428977</v>
      </c>
      <c r="L9" s="27">
        <f ca="1">D9*Premium!$C$23</f>
        <v>182.44773697457387</v>
      </c>
      <c r="M9" s="47">
        <f t="shared" ca="1" si="1"/>
        <v>518.84170598317496</v>
      </c>
      <c r="N9" s="48">
        <f ca="1">IF(Inputs!$D$9&gt;=Cashflow!B9,SUM(D9:E9)-SUM(F9:K9)+N8,0)</f>
        <v>2442.8395544621944</v>
      </c>
    </row>
    <row r="10" spans="2:14">
      <c r="B10" s="30">
        <v>7</v>
      </c>
      <c r="C10" s="7">
        <f t="shared" si="0"/>
        <v>46</v>
      </c>
      <c r="D10" s="27">
        <f ca="1">IF(Inputs!$D$10&gt;=Cashflow!B10,Premium!$C$28*Premium_Calculations!D9,0)</f>
        <v>607.26817013302036</v>
      </c>
      <c r="E10" s="27">
        <f ca="1">IF(Inputs!$D$9&gt;=Cashflow!B10,(D10-I10+N9-K10-H10-J10)*Inputs!$D$12,0)</f>
        <v>149.16541129402913</v>
      </c>
      <c r="F10" s="27">
        <f>Table2[[#This Row],[Benefits]]</f>
        <v>161.05902174486658</v>
      </c>
      <c r="G10" s="47">
        <v>0</v>
      </c>
      <c r="H10" s="47">
        <v>0</v>
      </c>
      <c r="I10" s="47">
        <f ca="1">IF(Inputs!$D$10&gt;=Cashflow!B10,Premium!$C$28*Inputs!$D$14*Premium_Calculations!D9,0)</f>
        <v>36.436090207981223</v>
      </c>
      <c r="J10" s="47">
        <v>0</v>
      </c>
      <c r="K10" s="47">
        <f ca="1">IF(Inputs!$D$10&gt;=Cashflow!B10,Premium!$C$28*Inputs!$D$16*Premium_Calculations!D9,0)</f>
        <v>30.36340850665102</v>
      </c>
      <c r="L10" s="27">
        <f ca="1">D10*Premium!$C$23</f>
        <v>182.1804510399061</v>
      </c>
      <c r="M10" s="47">
        <f t="shared" ca="1" si="1"/>
        <v>528.5750609675506</v>
      </c>
      <c r="N10" s="48">
        <f ca="1">IF(Inputs!$D$9&gt;=Cashflow!B10,SUM(D10:E10)-SUM(F10:K10)+N9,0)</f>
        <v>2971.414615429745</v>
      </c>
    </row>
    <row r="11" spans="2:14">
      <c r="B11" s="30">
        <v>8</v>
      </c>
      <c r="C11" s="7">
        <f t="shared" si="0"/>
        <v>47</v>
      </c>
      <c r="D11" s="27">
        <f ca="1">IF(Inputs!$D$10&gt;=Cashflow!B11,Premium!$C$28*Premium_Calculations!D10,0)</f>
        <v>606.28318116106459</v>
      </c>
      <c r="E11" s="27">
        <f ca="1">IF(Inputs!$D$9&gt;=Cashflow!B11,(D11-I11+N10-K11-H11-J11)*Inputs!$D$12,0)</f>
        <v>175.55033233315464</v>
      </c>
      <c r="F11" s="27">
        <f>Table2[[#This Row],[Benefits]]</f>
        <v>178.64217434580564</v>
      </c>
      <c r="G11" s="47">
        <v>0</v>
      </c>
      <c r="H11" s="47">
        <v>0</v>
      </c>
      <c r="I11" s="47">
        <f ca="1">IF(Inputs!$D$10&gt;=Cashflow!B11,Premium!$C$28*Inputs!$D$14*Premium_Calculations!D10,0)</f>
        <v>36.376990869663878</v>
      </c>
      <c r="J11" s="47">
        <v>0</v>
      </c>
      <c r="K11" s="47">
        <f ca="1">IF(Inputs!$D$10&gt;=Cashflow!B11,Premium!$C$28*Inputs!$D$16*Premium_Calculations!D10,0)</f>
        <v>30.314159058053232</v>
      </c>
      <c r="L11" s="27">
        <f ca="1">D11*Premium!$C$23</f>
        <v>181.88495434831938</v>
      </c>
      <c r="M11" s="47">
        <f t="shared" ca="1" si="1"/>
        <v>536.50018922069648</v>
      </c>
      <c r="N11" s="48">
        <f ca="1">IF(Inputs!$D$9&gt;=Cashflow!B11,SUM(D11:E11)-SUM(F11:K11)+N10,0)</f>
        <v>3507.9148046504415</v>
      </c>
    </row>
    <row r="12" spans="2:14">
      <c r="B12" s="30">
        <v>9</v>
      </c>
      <c r="C12" s="7">
        <f t="shared" si="0"/>
        <v>48</v>
      </c>
      <c r="D12" s="27">
        <f ca="1">IF(Inputs!$D$10&gt;=Cashflow!B12,Premium!$C$28*Premium_Calculations!D11,0)</f>
        <v>605.19065886861233</v>
      </c>
      <c r="E12" s="27">
        <f ca="1">IF(Inputs!$D$9&gt;=Cashflow!B12,(D12-I12+N11-K12-H12-J12)*Inputs!$D$12,0)</f>
        <v>202.32672455217534</v>
      </c>
      <c r="F12" s="27">
        <f>Table2[[#This Row],[Benefits]]</f>
        <v>198.70537424220313</v>
      </c>
      <c r="G12" s="47">
        <v>0</v>
      </c>
      <c r="H12" s="47">
        <v>0</v>
      </c>
      <c r="I12" s="47">
        <f ca="1">IF(Inputs!$D$10&gt;=Cashflow!B12,Premium!$C$28*Inputs!$D$14*Premium_Calculations!D11,0)</f>
        <v>36.311439532116736</v>
      </c>
      <c r="J12" s="47">
        <v>0</v>
      </c>
      <c r="K12" s="47">
        <f ca="1">IF(Inputs!$D$10&gt;=Cashflow!B12,Premium!$C$28*Inputs!$D$16*Premium_Calculations!D11,0)</f>
        <v>30.259532943430617</v>
      </c>
      <c r="L12" s="27">
        <f ca="1">D12*Premium!$C$23</f>
        <v>181.55719766058368</v>
      </c>
      <c r="M12" s="47">
        <f t="shared" ca="1" si="1"/>
        <v>542.24103670303714</v>
      </c>
      <c r="N12" s="48">
        <f ca="1">IF(Inputs!$D$9&gt;=Cashflow!B12,SUM(D12:E12)-SUM(F12:K12)+N11,0)</f>
        <v>4050.1558413534785</v>
      </c>
    </row>
    <row r="13" spans="2:14">
      <c r="B13" s="30">
        <v>10</v>
      </c>
      <c r="C13" s="7">
        <f t="shared" si="0"/>
        <v>49</v>
      </c>
      <c r="D13" s="27">
        <f ca="1">IF(Inputs!$D$10&gt;=Cashflow!B13,Premium!$C$28*Premium_Calculations!D12,0)</f>
        <v>603.97543602560415</v>
      </c>
      <c r="E13" s="27">
        <f ca="1">IF(Inputs!$D$9&gt;=Cashflow!B13,(D13-I13+N12-K13-H13-J13)*Inputs!$D$12,0)</f>
        <v>229.38469897081333</v>
      </c>
      <c r="F13" s="27">
        <f>Table2[[#This Row],[Benefits]]</f>
        <v>221.31702380451904</v>
      </c>
      <c r="G13" s="47">
        <v>0</v>
      </c>
      <c r="H13" s="47">
        <v>0</v>
      </c>
      <c r="I13" s="47">
        <f ca="1">IF(Inputs!$D$10&gt;=Cashflow!B13,Premium!$C$28*Inputs!$D$14*Premium_Calculations!D12,0)</f>
        <v>36.23852616153625</v>
      </c>
      <c r="J13" s="47">
        <v>0</v>
      </c>
      <c r="K13" s="47">
        <f ca="1">IF(Inputs!$D$10&gt;=Cashflow!B13,Premium!$C$28*Inputs!$D$16*Premium_Calculations!D12,0)</f>
        <v>30.198771801280209</v>
      </c>
      <c r="L13" s="27">
        <f ca="1">D13*Premium!$C$23</f>
        <v>181.19263080768124</v>
      </c>
      <c r="M13" s="47">
        <f t="shared" ca="1" si="1"/>
        <v>545.60581322908206</v>
      </c>
      <c r="N13" s="48">
        <f ca="1">IF(Inputs!$D$9&gt;=Cashflow!B13,SUM(D13:E13)-SUM(F13:K13)+N12,0)</f>
        <v>4595.7616545825604</v>
      </c>
    </row>
    <row r="14" spans="2:14">
      <c r="B14" s="30">
        <v>11</v>
      </c>
      <c r="C14" s="7">
        <f t="shared" si="0"/>
        <v>50</v>
      </c>
      <c r="D14" s="27">
        <f ca="1">IF(Inputs!$D$10&gt;=Cashflow!B14,Premium!$C$28*Premium_Calculations!D13,0)</f>
        <v>602.62192707347072</v>
      </c>
      <c r="E14" s="27">
        <f ca="1">IF(Inputs!$D$9&gt;=Cashflow!B14,(D14-I14+N13-K14-H14-J14)*Inputs!$D$12,0)</f>
        <v>256.60475848389746</v>
      </c>
      <c r="F14" s="27">
        <f>Table2[[#This Row],[Benefits]]</f>
        <v>247.13038790908797</v>
      </c>
      <c r="G14" s="47">
        <v>0</v>
      </c>
      <c r="H14" s="47">
        <v>0</v>
      </c>
      <c r="I14" s="47">
        <f ca="1">IF(Inputs!$D$10&gt;=Cashflow!B14,Premium!$C$28*Inputs!$D$14*Premium_Calculations!D13,0)</f>
        <v>36.157315624408241</v>
      </c>
      <c r="J14" s="47">
        <v>0</v>
      </c>
      <c r="K14" s="47">
        <f ca="1">IF(Inputs!$D$10&gt;=Cashflow!B14,Premium!$C$28*Inputs!$D$16*Premium_Calculations!D13,0)</f>
        <v>30.131096353673538</v>
      </c>
      <c r="L14" s="27">
        <f ca="1">D14*Premium!$C$23</f>
        <v>180.78657812204122</v>
      </c>
      <c r="M14" s="47">
        <f t="shared" ca="1" si="1"/>
        <v>545.80788567019852</v>
      </c>
      <c r="N14" s="48">
        <f ca="1">IF(Inputs!$D$9&gt;=Cashflow!B14,SUM(D14:E14)-SUM(F14:K14)+N13,0)</f>
        <v>5141.569540252759</v>
      </c>
    </row>
    <row r="15" spans="2:14">
      <c r="B15" s="30">
        <v>12</v>
      </c>
      <c r="C15" s="7">
        <f t="shared" si="0"/>
        <v>51</v>
      </c>
      <c r="D15" s="27">
        <f ca="1">IF(Inputs!$D$10&gt;=Cashflow!B15,Premium!$C$28*Premium_Calculations!D14,0)</f>
        <v>601.11055128037049</v>
      </c>
      <c r="E15" s="27">
        <f ca="1">IF(Inputs!$D$9&gt;=Cashflow!B15,(D15-I15+N14-K15-H15-J15)*Inputs!$D$12,0)</f>
        <v>283.82789654461448</v>
      </c>
      <c r="F15" s="27">
        <f>Table2[[#This Row],[Benefits]]</f>
        <v>276.09578667203328</v>
      </c>
      <c r="G15" s="47">
        <v>0</v>
      </c>
      <c r="H15" s="47">
        <v>0</v>
      </c>
      <c r="I15" s="47">
        <f ca="1">IF(Inputs!$D$10&gt;=Cashflow!B15,Premium!$C$28*Inputs!$D$14*Premium_Calculations!D14,0)</f>
        <v>36.066633076822228</v>
      </c>
      <c r="J15" s="47">
        <v>0</v>
      </c>
      <c r="K15" s="47">
        <f ca="1">IF(Inputs!$D$10&gt;=Cashflow!B15,Premium!$C$28*Inputs!$D$16*Premium_Calculations!D14,0)</f>
        <v>30.055527564018526</v>
      </c>
      <c r="L15" s="27">
        <f ca="1">D15*Premium!$C$23</f>
        <v>180.33316538411114</v>
      </c>
      <c r="M15" s="47">
        <f t="shared" ca="1" si="1"/>
        <v>542.7205005121109</v>
      </c>
      <c r="N15" s="48">
        <f ca="1">IF(Inputs!$D$9&gt;=Cashflow!B15,SUM(D15:E15)-SUM(F15:K15)+N14,0)</f>
        <v>5684.2900407648704</v>
      </c>
    </row>
    <row r="16" spans="2:14">
      <c r="B16" s="30">
        <v>13</v>
      </c>
      <c r="C16" s="7">
        <f t="shared" si="0"/>
        <v>52</v>
      </c>
      <c r="D16" s="27">
        <f ca="1">IF(Inputs!$D$10&gt;=Cashflow!B16,Premium!$C$28*Premium_Calculations!D15,0)</f>
        <v>599.42203174182396</v>
      </c>
      <c r="E16" s="27">
        <f ca="1">IF(Inputs!$D$9&gt;=Cashflow!B16,(D16-I16+N15-K16-H16-J16)*Inputs!$D$12,0)</f>
        <v>310.88878245075472</v>
      </c>
      <c r="F16" s="27">
        <f>Table2[[#This Row],[Benefits]]</f>
        <v>308.93890221791378</v>
      </c>
      <c r="G16" s="47">
        <v>0</v>
      </c>
      <c r="H16" s="47">
        <v>0</v>
      </c>
      <c r="I16" s="47">
        <f ca="1">IF(Inputs!$D$10&gt;=Cashflow!B16,Premium!$C$28*Inputs!$D$14*Premium_Calculations!D15,0)</f>
        <v>35.96532190450943</v>
      </c>
      <c r="J16" s="47">
        <v>0</v>
      </c>
      <c r="K16" s="47">
        <f ca="1">IF(Inputs!$D$10&gt;=Cashflow!B16,Premium!$C$28*Inputs!$D$16*Premium_Calculations!D15,0)</f>
        <v>29.971101587091194</v>
      </c>
      <c r="L16" s="27">
        <f ca="1">D16*Premium!$C$23</f>
        <v>179.82660952254719</v>
      </c>
      <c r="M16" s="47">
        <f t="shared" ca="1" si="1"/>
        <v>535.4354884830642</v>
      </c>
      <c r="N16" s="48">
        <f ca="1">IF(Inputs!$D$9&gt;=Cashflow!B16,SUM(D16:E16)-SUM(F16:K16)+N15,0)</f>
        <v>6219.7255292479349</v>
      </c>
    </row>
    <row r="17" spans="2:14">
      <c r="B17" s="30">
        <v>14</v>
      </c>
      <c r="C17" s="7">
        <f t="shared" si="0"/>
        <v>53</v>
      </c>
      <c r="D17" s="27">
        <f ca="1">IF(Inputs!$D$10&gt;=Cashflow!B17,Premium!$C$28*Premium_Calculations!D16,0)</f>
        <v>597.53265349777371</v>
      </c>
      <c r="E17" s="27">
        <f ca="1">IF(Inputs!$D$9&gt;=Cashflow!B17,(D17-I17+N16-K17-H17-J17)*Inputs!$D$12,0)</f>
        <v>337.57647954304775</v>
      </c>
      <c r="F17" s="27">
        <f>Table2[[#This Row],[Benefits]]</f>
        <v>345.77683494243564</v>
      </c>
      <c r="G17" s="47">
        <v>0</v>
      </c>
      <c r="H17" s="47">
        <v>0</v>
      </c>
      <c r="I17" s="47">
        <f ca="1">IF(Inputs!$D$10&gt;=Cashflow!B17,Premium!$C$28*Inputs!$D$14*Premium_Calculations!D16,0)</f>
        <v>35.851959209866422</v>
      </c>
      <c r="J17" s="47">
        <v>0</v>
      </c>
      <c r="K17" s="47">
        <f ca="1">IF(Inputs!$D$10&gt;=Cashflow!B17,Premium!$C$28*Inputs!$D$16*Premium_Calculations!D16,0)</f>
        <v>29.876632674888683</v>
      </c>
      <c r="L17" s="27">
        <f ca="1">D17*Premium!$C$23</f>
        <v>179.2597960493321</v>
      </c>
      <c r="M17" s="47">
        <f t="shared" ca="1" si="1"/>
        <v>523.60370621363063</v>
      </c>
      <c r="N17" s="48">
        <f ca="1">IF(Inputs!$D$9&gt;=Cashflow!B17,SUM(D17:E17)-SUM(F17:K17)+N16,0)</f>
        <v>6743.329235461566</v>
      </c>
    </row>
    <row r="18" spans="2:14">
      <c r="B18" s="30">
        <v>15</v>
      </c>
      <c r="C18" s="7">
        <f t="shared" si="0"/>
        <v>54</v>
      </c>
      <c r="D18" s="27">
        <f ca="1">IF(Inputs!$D$10&gt;=Cashflow!B18,Premium!$C$28*Premium_Calculations!D17,0)</f>
        <v>595.4179854370451</v>
      </c>
      <c r="E18" s="27">
        <f ca="1">IF(Inputs!$D$9&gt;=Cashflow!B18,(D18-I18+N17-K18-H18-J18)*Inputs!$D$12,0)</f>
        <v>363.66256212502685</v>
      </c>
      <c r="F18" s="27">
        <f>Table2[[#This Row],[Benefits]]</f>
        <v>387.09896800139353</v>
      </c>
      <c r="G18" s="47">
        <v>0</v>
      </c>
      <c r="H18" s="47">
        <v>0</v>
      </c>
      <c r="I18" s="47">
        <f ca="1">IF(Inputs!$D$10&gt;=Cashflow!B18,Premium!$C$28*Inputs!$D$14*Premium_Calculations!D17,0)</f>
        <v>35.725079126222703</v>
      </c>
      <c r="J18" s="47">
        <v>0</v>
      </c>
      <c r="K18" s="47">
        <f ca="1">IF(Inputs!$D$10&gt;=Cashflow!B18,Premium!$C$28*Inputs!$D$16*Premium_Calculations!D17,0)</f>
        <v>29.770899271852254</v>
      </c>
      <c r="L18" s="27">
        <f ca="1">D18*Premium!$C$23</f>
        <v>178.62539563111352</v>
      </c>
      <c r="M18" s="47">
        <f t="shared" ca="1" si="1"/>
        <v>506.48560116260347</v>
      </c>
      <c r="N18" s="48">
        <f ca="1">IF(Inputs!$D$9&gt;=Cashflow!B18,SUM(D18:E18)-SUM(F18:K18)+N17,0)</f>
        <v>7249.8148366241694</v>
      </c>
    </row>
    <row r="19" spans="2:14">
      <c r="B19" s="30">
        <v>16</v>
      </c>
      <c r="C19" s="7">
        <f t="shared" si="0"/>
        <v>55</v>
      </c>
      <c r="D19" s="27">
        <f ca="1">IF(Inputs!$D$10&gt;=Cashflow!B19,Premium!$C$28*Premium_Calculations!D18,0)</f>
        <v>593.05060352694738</v>
      </c>
      <c r="E19" s="27">
        <f ca="1">IF(Inputs!$D$9&gt;=Cashflow!B19,(D19-I19+N18-K19-H19-J19)*Inputs!$D$12,0)</f>
        <v>388.88149368815766</v>
      </c>
      <c r="F19" s="27">
        <f>Table2[[#This Row],[Benefits]]</f>
        <v>433.36695813207911</v>
      </c>
      <c r="G19" s="47">
        <v>0</v>
      </c>
      <c r="H19" s="47">
        <v>0</v>
      </c>
      <c r="I19" s="47">
        <f ca="1">IF(Inputs!$D$10&gt;=Cashflow!B19,Premium!$C$28*Inputs!$D$14*Premium_Calculations!D18,0)</f>
        <v>35.583036211616836</v>
      </c>
      <c r="J19" s="47">
        <v>0</v>
      </c>
      <c r="K19" s="47">
        <f ca="1">IF(Inputs!$D$10&gt;=Cashflow!B19,Premium!$C$28*Inputs!$D$16*Premium_Calculations!D18,0)</f>
        <v>29.652530176347366</v>
      </c>
      <c r="L19" s="27">
        <f ca="1">D19*Premium!$C$23</f>
        <v>177.91518105808422</v>
      </c>
      <c r="M19" s="47">
        <f t="shared" ca="1" si="1"/>
        <v>483.32957269506176</v>
      </c>
      <c r="N19" s="48">
        <f ca="1">IF(Inputs!$D$9&gt;=Cashflow!B19,SUM(D19:E19)-SUM(F19:K19)+N18,0)</f>
        <v>7733.1444093192313</v>
      </c>
    </row>
    <row r="20" spans="2:14">
      <c r="B20" s="30">
        <v>17</v>
      </c>
      <c r="C20" s="7">
        <f t="shared" si="0"/>
        <v>56</v>
      </c>
      <c r="D20" s="27">
        <f ca="1">IF(Inputs!$D$10&gt;=Cashflow!B20,Premium!$C$28*Premium_Calculations!D19,0)</f>
        <v>590.40026037978544</v>
      </c>
      <c r="E20" s="27">
        <f ca="1">IF(Inputs!$D$9&gt;=Cashflow!B20,(D20-I20+N19-K20-H20-J20)*Inputs!$D$12,0)</f>
        <v>412.93003205286197</v>
      </c>
      <c r="F20" s="27">
        <f>Table2[[#This Row],[Benefits]]</f>
        <v>485.10560796841327</v>
      </c>
      <c r="G20" s="47">
        <v>0</v>
      </c>
      <c r="H20" s="47">
        <v>0</v>
      </c>
      <c r="I20" s="47">
        <f ca="1">IF(Inputs!$D$10&gt;=Cashflow!B20,Premium!$C$28*Inputs!$D$14*Premium_Calculations!D19,0)</f>
        <v>35.424015622787124</v>
      </c>
      <c r="J20" s="47">
        <v>0</v>
      </c>
      <c r="K20" s="47">
        <f ca="1">IF(Inputs!$D$10&gt;=Cashflow!B20,Premium!$C$28*Inputs!$D$16*Premium_Calculations!D19,0)</f>
        <v>29.520013018989271</v>
      </c>
      <c r="L20" s="27">
        <f ca="1">D20*Premium!$C$23</f>
        <v>177.12007811393562</v>
      </c>
      <c r="M20" s="47">
        <f t="shared" ca="1" si="1"/>
        <v>453.28065582245779</v>
      </c>
      <c r="N20" s="48">
        <f ca="1">IF(Inputs!$D$9&gt;=Cashflow!B20,SUM(D20:E20)-SUM(F20:K20)+N19,0)</f>
        <v>8186.4250651416887</v>
      </c>
    </row>
    <row r="21" spans="2:14">
      <c r="B21" s="30">
        <v>18</v>
      </c>
      <c r="C21" s="7">
        <f t="shared" si="0"/>
        <v>57</v>
      </c>
      <c r="D21" s="27">
        <f ca="1">IF(Inputs!$D$10&gt;=Cashflow!B21,Premium!$C$28*Premium_Calculations!D20,0)</f>
        <v>587.43349907137701</v>
      </c>
      <c r="E21" s="27">
        <f ca="1">IF(Inputs!$D$9&gt;=Cashflow!B21,(D21-I21+N20-K21-H21-J21)*Inputs!$D$12,0)</f>
        <v>435.4620439657607</v>
      </c>
      <c r="F21" s="27">
        <f>Table2[[#This Row],[Benefits]]</f>
        <v>542.70127968742315</v>
      </c>
      <c r="G21" s="47">
        <v>0</v>
      </c>
      <c r="H21" s="47">
        <v>0</v>
      </c>
      <c r="I21" s="47">
        <f ca="1">IF(Inputs!$D$10&gt;=Cashflow!B21,Premium!$C$28*Inputs!$D$14*Premium_Calculations!D20,0)</f>
        <v>35.246009944282619</v>
      </c>
      <c r="J21" s="47">
        <v>0</v>
      </c>
      <c r="K21" s="47">
        <f ca="1">IF(Inputs!$D$10&gt;=Cashflow!B21,Premium!$C$28*Inputs!$D$16*Premium_Calculations!D20,0)</f>
        <v>29.371674953568849</v>
      </c>
      <c r="L21" s="27">
        <f ca="1">D21*Premium!$C$23</f>
        <v>176.23004972141311</v>
      </c>
      <c r="M21" s="47">
        <f t="shared" ca="1" si="1"/>
        <v>415.57657845186316</v>
      </c>
      <c r="N21" s="48">
        <f ca="1">IF(Inputs!$D$9&gt;=Cashflow!B21,SUM(D21:E21)-SUM(F21:K21)+N20,0)</f>
        <v>8602.0016435935522</v>
      </c>
    </row>
    <row r="22" spans="2:14">
      <c r="B22" s="30">
        <v>19</v>
      </c>
      <c r="C22" s="7">
        <f t="shared" si="0"/>
        <v>58</v>
      </c>
      <c r="D22" s="27">
        <f ca="1">IF(Inputs!$D$10&gt;=Cashflow!B22,Premium!$C$28*Premium_Calculations!D21,0)</f>
        <v>584.11449980162377</v>
      </c>
      <c r="E22" s="27">
        <f ca="1">IF(Inputs!$D$9&gt;=Cashflow!B22,(D22-I22+N21-K22-H22-J22)*Inputs!$D$12,0)</f>
        <v>456.09317742084988</v>
      </c>
      <c r="F22" s="27">
        <f>Table2[[#This Row],[Benefits]]</f>
        <v>606.68347449346311</v>
      </c>
      <c r="G22" s="47">
        <v>0</v>
      </c>
      <c r="H22" s="47">
        <v>0</v>
      </c>
      <c r="I22" s="47">
        <f ca="1">IF(Inputs!$D$10&gt;=Cashflow!B22,Premium!$C$28*Inputs!$D$14*Premium_Calculations!D21,0)</f>
        <v>35.04686998809742</v>
      </c>
      <c r="J22" s="47">
        <v>0</v>
      </c>
      <c r="K22" s="47">
        <f ca="1">IF(Inputs!$D$10&gt;=Cashflow!B22,Premium!$C$28*Inputs!$D$16*Premium_Calculations!D21,0)</f>
        <v>29.205724990081187</v>
      </c>
      <c r="L22" s="27">
        <f ca="1">D22*Premium!$C$23</f>
        <v>175.23434994048714</v>
      </c>
      <c r="M22" s="47">
        <f t="shared" ca="1" si="1"/>
        <v>369.27160775083189</v>
      </c>
      <c r="N22" s="48">
        <f ca="1">IF(Inputs!$D$9&gt;=Cashflow!B22,SUM(D22:E22)-SUM(F22:K22)+N21,0)</f>
        <v>8971.2732513443843</v>
      </c>
    </row>
    <row r="23" spans="2:14">
      <c r="B23" s="30">
        <v>20</v>
      </c>
      <c r="C23" s="7">
        <f t="shared" si="0"/>
        <v>59</v>
      </c>
      <c r="D23" s="27">
        <f ca="1">IF(Inputs!$D$10&gt;=Cashflow!B23,Premium!$C$28*Premium_Calculations!D22,0)</f>
        <v>580.40420449888381</v>
      </c>
      <c r="E23" s="27">
        <f ca="1">IF(Inputs!$D$9&gt;=Cashflow!B23,(D23-I23+N22-K23-H23-J23)*Inputs!$D$12,0)</f>
        <v>474.39164966741959</v>
      </c>
      <c r="F23" s="27">
        <f>Table2[[#This Row],[Benefits]]</f>
        <v>677.61412506190982</v>
      </c>
      <c r="G23" s="47">
        <v>0</v>
      </c>
      <c r="H23" s="47">
        <v>0</v>
      </c>
      <c r="I23" s="47">
        <f ca="1">IF(Inputs!$D$10&gt;=Cashflow!B23,Premium!$C$28*Inputs!$D$14*Premium_Calculations!D22,0)</f>
        <v>34.824252269933027</v>
      </c>
      <c r="J23" s="47">
        <v>0</v>
      </c>
      <c r="K23" s="47">
        <f ca="1">IF(Inputs!$D$10&gt;=Cashflow!B23,Premium!$C$28*Inputs!$D$16*Premium_Calculations!D22,0)</f>
        <v>29.02021022494419</v>
      </c>
      <c r="L23" s="27">
        <f ca="1">D23*Premium!$C$23</f>
        <v>174.12126134966513</v>
      </c>
      <c r="M23" s="47">
        <f t="shared" ca="1" si="1"/>
        <v>313.33726660951629</v>
      </c>
      <c r="N23" s="48">
        <f ca="1">IF(Inputs!$D$9&gt;=Cashflow!B23,SUM(D23:E23)-SUM(F23:K23)+N22,0)</f>
        <v>9284.6105179539009</v>
      </c>
    </row>
    <row r="24" spans="2:14">
      <c r="B24" s="30">
        <v>21</v>
      </c>
      <c r="C24" s="7">
        <f t="shared" si="0"/>
        <v>60</v>
      </c>
      <c r="D24" s="27">
        <f>IF(Inputs!$D$10&gt;=Cashflow!B24,Premium!$C$28*Premium_Calculations!D23,0)</f>
        <v>0</v>
      </c>
      <c r="E24" s="27">
        <f ca="1">IF(Inputs!$D$9&gt;=Cashflow!B24,(D24-I24+N23-K24-H24-J24)*Inputs!$D$12,0)</f>
        <v>464.23052589769509</v>
      </c>
      <c r="F24" s="27">
        <f>Table2[[#This Row],[Benefits]]</f>
        <v>755.88357882301682</v>
      </c>
      <c r="G24" s="47">
        <v>0</v>
      </c>
      <c r="H24" s="47">
        <v>0</v>
      </c>
      <c r="I24" s="47">
        <f>IF(Inputs!$D$10&gt;=Cashflow!B24,Premium!$C$28*Inputs!$D$14*Premium_Calculations!D23,0)</f>
        <v>0</v>
      </c>
      <c r="J24" s="47">
        <v>0</v>
      </c>
      <c r="K24" s="47">
        <f>IF(Inputs!$D$10&gt;=Cashflow!B24,Premium!$C$28*Inputs!$D$16*Premium_Calculations!D23,0)</f>
        <v>0</v>
      </c>
      <c r="L24" s="27">
        <f>D24*Premium!$C$23</f>
        <v>0</v>
      </c>
      <c r="M24" s="47">
        <f t="shared" ca="1" si="1"/>
        <v>-291.65305292532173</v>
      </c>
      <c r="N24" s="48">
        <f ca="1">IF(Inputs!$D$9&gt;=Cashflow!B24,SUM(D24:E24)-SUM(F24:K24)+N23,0)</f>
        <v>8992.9574650285795</v>
      </c>
    </row>
    <row r="25" spans="2:14">
      <c r="B25" s="30">
        <v>22</v>
      </c>
      <c r="C25" s="7">
        <f t="shared" si="0"/>
        <v>61</v>
      </c>
      <c r="D25" s="27">
        <f>IF(Inputs!$D$10&gt;=Cashflow!B25,Premium!$C$28*Premium_Calculations!D24,0)</f>
        <v>0</v>
      </c>
      <c r="E25" s="27">
        <f ca="1">IF(Inputs!$D$9&gt;=Cashflow!B25,(D25-I25+N24-K25-H25-J25)*Inputs!$D$12,0)</f>
        <v>449.64787325142902</v>
      </c>
      <c r="F25" s="27">
        <f>Table2[[#This Row],[Benefits]]</f>
        <v>842.07520639616939</v>
      </c>
      <c r="G25" s="47">
        <v>0</v>
      </c>
      <c r="H25" s="47">
        <v>0</v>
      </c>
      <c r="I25" s="47">
        <f>IF(Inputs!$D$10&gt;=Cashflow!B25,Premium!$C$28*Inputs!$D$14*Premium_Calculations!D24,0)</f>
        <v>0</v>
      </c>
      <c r="J25" s="47">
        <v>0</v>
      </c>
      <c r="K25" s="47">
        <f>IF(Inputs!$D$10&gt;=Cashflow!B25,Premium!$C$28*Inputs!$D$16*Premium_Calculations!D24,0)</f>
        <v>0</v>
      </c>
      <c r="L25" s="27">
        <f>D25*Premium!$C$23</f>
        <v>0</v>
      </c>
      <c r="M25" s="47">
        <f t="shared" ca="1" si="1"/>
        <v>-392.42733314474037</v>
      </c>
      <c r="N25" s="48">
        <f ca="1">IF(Inputs!$D$9&gt;=Cashflow!B25,SUM(D25:E25)-SUM(F25:K25)+N24,0)</f>
        <v>8600.5301318838392</v>
      </c>
    </row>
    <row r="26" spans="2:14">
      <c r="B26" s="30">
        <v>23</v>
      </c>
      <c r="C26" s="7">
        <f t="shared" si="0"/>
        <v>62</v>
      </c>
      <c r="D26" s="27">
        <f>IF(Inputs!$D$10&gt;=Cashflow!B26,Premium!$C$28*Premium_Calculations!D25,0)</f>
        <v>0</v>
      </c>
      <c r="E26" s="27">
        <f ca="1">IF(Inputs!$D$9&gt;=Cashflow!B26,(D26-I26+N25-K26-H26-J26)*Inputs!$D$12,0)</f>
        <v>430.02650659419197</v>
      </c>
      <c r="F26" s="27">
        <f>Table2[[#This Row],[Benefits]]</f>
        <v>936.65803875169036</v>
      </c>
      <c r="G26" s="47">
        <v>0</v>
      </c>
      <c r="H26" s="47">
        <v>0</v>
      </c>
      <c r="I26" s="47">
        <f>IF(Inputs!$D$10&gt;=Cashflow!B26,Premium!$C$28*Inputs!$D$14*Premium_Calculations!D25,0)</f>
        <v>0</v>
      </c>
      <c r="J26" s="47">
        <v>0</v>
      </c>
      <c r="K26" s="47">
        <f>IF(Inputs!$D$10&gt;=Cashflow!B26,Premium!$C$28*Inputs!$D$16*Premium_Calculations!D25,0)</f>
        <v>0</v>
      </c>
      <c r="L26" s="27">
        <f>D26*Premium!$C$23</f>
        <v>0</v>
      </c>
      <c r="M26" s="47">
        <f t="shared" ca="1" si="1"/>
        <v>-506.63153215749838</v>
      </c>
      <c r="N26" s="48">
        <f ca="1">IF(Inputs!$D$9&gt;=Cashflow!B26,SUM(D26:E26)-SUM(F26:K26)+N25,0)</f>
        <v>8093.8985997263408</v>
      </c>
    </row>
    <row r="27" spans="2:14">
      <c r="B27" s="30">
        <v>24</v>
      </c>
      <c r="C27" s="7">
        <f t="shared" si="0"/>
        <v>63</v>
      </c>
      <c r="D27" s="27">
        <f>IF(Inputs!$D$10&gt;=Cashflow!B27,Premium!$C$28*Premium_Calculations!D26,0)</f>
        <v>0</v>
      </c>
      <c r="E27" s="27">
        <f ca="1">IF(Inputs!$D$9&gt;=Cashflow!B27,(D27-I27+N26-K27-H27-J27)*Inputs!$D$12,0)</f>
        <v>404.69492998631705</v>
      </c>
      <c r="F27" s="27">
        <f>Table2[[#This Row],[Benefits]]</f>
        <v>1040.1507370864838</v>
      </c>
      <c r="G27" s="47">
        <v>0</v>
      </c>
      <c r="H27" s="47">
        <v>0</v>
      </c>
      <c r="I27" s="47">
        <f>IF(Inputs!$D$10&gt;=Cashflow!B27,Premium!$C$28*Inputs!$D$14*Premium_Calculations!D26,0)</f>
        <v>0</v>
      </c>
      <c r="J27" s="47">
        <v>0</v>
      </c>
      <c r="K27" s="47">
        <f>IF(Inputs!$D$10&gt;=Cashflow!B27,Premium!$C$28*Inputs!$D$16*Premium_Calculations!D26,0)</f>
        <v>0</v>
      </c>
      <c r="L27" s="27">
        <f>D27*Premium!$C$23</f>
        <v>0</v>
      </c>
      <c r="M27" s="47">
        <f t="shared" ca="1" si="1"/>
        <v>-635.45580710016679</v>
      </c>
      <c r="N27" s="48">
        <f ca="1">IF(Inputs!$D$9&gt;=Cashflow!B27,SUM(D27:E27)-SUM(F27:K27)+N26,0)</f>
        <v>7458.4427926261742</v>
      </c>
    </row>
    <row r="28" spans="2:14">
      <c r="B28" s="30">
        <v>25</v>
      </c>
      <c r="C28" s="7">
        <f t="shared" si="0"/>
        <v>64</v>
      </c>
      <c r="D28" s="27">
        <f>IF(Inputs!$D$10&gt;=Cashflow!B28,Premium!$C$28*Premium_Calculations!D27,0)</f>
        <v>0</v>
      </c>
      <c r="E28" s="27">
        <f ca="1">IF(Inputs!$D$9&gt;=Cashflow!B28,(D28-I28+N27-K28-H28-J28)*Inputs!$D$12,0)</f>
        <v>372.92213963130871</v>
      </c>
      <c r="F28" s="27">
        <f>Table2[[#This Row],[Benefits]]</f>
        <v>1152.7252038752804</v>
      </c>
      <c r="G28" s="47">
        <v>0</v>
      </c>
      <c r="H28" s="47">
        <v>0</v>
      </c>
      <c r="I28" s="47">
        <f>IF(Inputs!$D$10&gt;=Cashflow!B28,Premium!$C$28*Inputs!$D$14*Premium_Calculations!D27,0)</f>
        <v>0</v>
      </c>
      <c r="J28" s="47">
        <v>0</v>
      </c>
      <c r="K28" s="47">
        <f>IF(Inputs!$D$10&gt;=Cashflow!B28,Premium!$C$28*Inputs!$D$16*Premium_Calculations!D27,0)</f>
        <v>0</v>
      </c>
      <c r="L28" s="27">
        <f>D28*Premium!$C$23</f>
        <v>0</v>
      </c>
      <c r="M28" s="47">
        <f t="shared" ca="1" si="1"/>
        <v>-779.80306424397168</v>
      </c>
      <c r="N28" s="48">
        <f ca="1">IF(Inputs!$D$9&gt;=Cashflow!B28,SUM(D28:E28)-SUM(F28:K28)+N27,0)</f>
        <v>6678.6397283822025</v>
      </c>
    </row>
    <row r="29" spans="2:14">
      <c r="B29" s="30">
        <v>26</v>
      </c>
      <c r="C29" s="7">
        <f t="shared" si="0"/>
        <v>65</v>
      </c>
      <c r="D29" s="27">
        <f>IF(Inputs!$D$10&gt;=Cashflow!B29,Premium!$C$28*Premium_Calculations!D28,0)</f>
        <v>0</v>
      </c>
      <c r="E29" s="27">
        <f ca="1">IF(Inputs!$D$9&gt;=Cashflow!B29,(D29-I29+N28-K29-H29-J29)*Inputs!$D$12,0)</f>
        <v>333.93198641911016</v>
      </c>
      <c r="F29" s="27">
        <f>Table2[[#This Row],[Benefits]]</f>
        <v>1274.7318669435083</v>
      </c>
      <c r="G29" s="47">
        <v>0</v>
      </c>
      <c r="H29" s="47">
        <v>0</v>
      </c>
      <c r="I29" s="47">
        <f>IF(Inputs!$D$10&gt;=Cashflow!B29,Premium!$C$28*Inputs!$D$14*Premium_Calculations!D28,0)</f>
        <v>0</v>
      </c>
      <c r="J29" s="47">
        <v>0</v>
      </c>
      <c r="K29" s="47">
        <f>IF(Inputs!$D$10&gt;=Cashflow!B29,Premium!$C$28*Inputs!$D$16*Premium_Calculations!D28,0)</f>
        <v>0</v>
      </c>
      <c r="L29" s="27">
        <f>D29*Premium!$C$23</f>
        <v>0</v>
      </c>
      <c r="M29" s="47">
        <f t="shared" ca="1" si="1"/>
        <v>-940.79988052439808</v>
      </c>
      <c r="N29" s="48">
        <f ca="1">IF(Inputs!$D$9&gt;=Cashflow!B29,SUM(D29:E29)-SUM(F29:K29)+N28,0)</f>
        <v>5737.8398478578047</v>
      </c>
    </row>
    <row r="30" spans="2:14">
      <c r="B30" s="30">
        <v>27</v>
      </c>
      <c r="C30" s="7">
        <f t="shared" si="0"/>
        <v>66</v>
      </c>
      <c r="D30" s="27">
        <f>IF(Inputs!$D$10&gt;=Cashflow!B30,Premium!$C$28*Premium_Calculations!D29,0)</f>
        <v>0</v>
      </c>
      <c r="E30" s="27">
        <f ca="1">IF(Inputs!$D$9&gt;=Cashflow!B30,(D30-I30+N29-K30-H30-J30)*Inputs!$D$12,0)</f>
        <v>286.89199239289024</v>
      </c>
      <c r="F30" s="27">
        <f>Table2[[#This Row],[Benefits]]</f>
        <v>1406.2921592181669</v>
      </c>
      <c r="G30" s="47">
        <v>0</v>
      </c>
      <c r="H30" s="47">
        <v>0</v>
      </c>
      <c r="I30" s="47">
        <f>IF(Inputs!$D$10&gt;=Cashflow!B30,Premium!$C$28*Inputs!$D$14*Premium_Calculations!D29,0)</f>
        <v>0</v>
      </c>
      <c r="J30" s="47">
        <v>0</v>
      </c>
      <c r="K30" s="47">
        <f>IF(Inputs!$D$10&gt;=Cashflow!B30,Premium!$C$28*Inputs!$D$16*Premium_Calculations!D29,0)</f>
        <v>0</v>
      </c>
      <c r="L30" s="27">
        <f>D30*Premium!$C$23</f>
        <v>0</v>
      </c>
      <c r="M30" s="47">
        <f t="shared" ca="1" si="1"/>
        <v>-1119.4001668252768</v>
      </c>
      <c r="N30" s="48">
        <f ca="1">IF(Inputs!$D$9&gt;=Cashflow!B30,SUM(D30:E30)-SUM(F30:K30)+N29,0)</f>
        <v>4618.4396810325279</v>
      </c>
    </row>
    <row r="31" spans="2:14">
      <c r="B31" s="30">
        <v>28</v>
      </c>
      <c r="C31" s="7">
        <f t="shared" si="0"/>
        <v>67</v>
      </c>
      <c r="D31" s="27">
        <f>IF(Inputs!$D$10&gt;=Cashflow!B31,Premium!$C$28*Premium_Calculations!D30,0)</f>
        <v>0</v>
      </c>
      <c r="E31" s="27">
        <f ca="1">IF(Inputs!$D$9&gt;=Cashflow!B31,(D31-I31+N30-K31-H31-J31)*Inputs!$D$12,0)</f>
        <v>230.9219840516264</v>
      </c>
      <c r="F31" s="27">
        <f>Table2[[#This Row],[Benefits]]</f>
        <v>1547.440612789014</v>
      </c>
      <c r="G31" s="47">
        <v>0</v>
      </c>
      <c r="H31" s="47">
        <v>0</v>
      </c>
      <c r="I31" s="47">
        <f>IF(Inputs!$D$10&gt;=Cashflow!B31,Premium!$C$28*Inputs!$D$14*Premium_Calculations!D30,0)</f>
        <v>0</v>
      </c>
      <c r="J31" s="47">
        <v>0</v>
      </c>
      <c r="K31" s="47">
        <f>IF(Inputs!$D$10&gt;=Cashflow!B31,Premium!$C$28*Inputs!$D$16*Premium_Calculations!D30,0)</f>
        <v>0</v>
      </c>
      <c r="L31" s="27">
        <f>D31*Premium!$C$23</f>
        <v>0</v>
      </c>
      <c r="M31" s="47">
        <f t="shared" ca="1" si="1"/>
        <v>-1316.5186287373876</v>
      </c>
      <c r="N31" s="48">
        <f ca="1">IF(Inputs!$D$9&gt;=Cashflow!B31,SUM(D31:E31)-SUM(F31:K31)+N30,0)</f>
        <v>3301.9210522951403</v>
      </c>
    </row>
    <row r="32" spans="2:14">
      <c r="B32" s="30">
        <v>29</v>
      </c>
      <c r="C32" s="7">
        <f t="shared" si="0"/>
        <v>68</v>
      </c>
      <c r="D32" s="27">
        <f>IF(Inputs!$D$10&gt;=Cashflow!B32,Premium!$C$28*Premium_Calculations!D31,0)</f>
        <v>0</v>
      </c>
      <c r="E32" s="27">
        <f ca="1">IF(Inputs!$D$9&gt;=Cashflow!B32,(D32-I32+N31-K32-H32-J32)*Inputs!$D$12,0)</f>
        <v>165.09605261475701</v>
      </c>
      <c r="F32" s="27">
        <f>Table2[[#This Row],[Benefits]]</f>
        <v>1697.9888291298012</v>
      </c>
      <c r="G32" s="47">
        <v>0</v>
      </c>
      <c r="H32" s="47">
        <v>0</v>
      </c>
      <c r="I32" s="47">
        <f>IF(Inputs!$D$10&gt;=Cashflow!B32,Premium!$C$28*Inputs!$D$14*Premium_Calculations!D31,0)</f>
        <v>0</v>
      </c>
      <c r="J32" s="47">
        <v>0</v>
      </c>
      <c r="K32" s="47">
        <f>IF(Inputs!$D$10&gt;=Cashflow!B32,Premium!$C$28*Inputs!$D$16*Premium_Calculations!D31,0)</f>
        <v>0</v>
      </c>
      <c r="L32" s="27">
        <f>D32*Premium!$C$23</f>
        <v>0</v>
      </c>
      <c r="M32" s="47">
        <f t="shared" ca="1" si="1"/>
        <v>-1532.8927765150443</v>
      </c>
      <c r="N32" s="48">
        <f ca="1">IF(Inputs!$D$9&gt;=Cashflow!B32,SUM(D32:E32)-SUM(F32:K32)+N31,0)</f>
        <v>1769.028275780096</v>
      </c>
    </row>
    <row r="33" spans="2:14">
      <c r="B33" s="30">
        <v>30</v>
      </c>
      <c r="C33" s="7">
        <f t="shared" si="0"/>
        <v>69</v>
      </c>
      <c r="D33" s="27">
        <f>IF(Inputs!$D$10&gt;=Cashflow!B33,Premium!$C$28*Premium_Calculations!D32,0)</f>
        <v>0</v>
      </c>
      <c r="E33" s="27">
        <f ca="1">IF(Inputs!$D$9&gt;=Cashflow!B33,(D33-I33+N32-K33-H33-J33)*Inputs!$D$12,0)</f>
        <v>88.451413789004803</v>
      </c>
      <c r="F33" s="27">
        <f>Table2[[#This Row],[Benefits]]</f>
        <v>1857.4796895691002</v>
      </c>
      <c r="G33" s="47">
        <v>0</v>
      </c>
      <c r="H33" s="47">
        <v>0</v>
      </c>
      <c r="I33" s="47">
        <f>IF(Inputs!$D$10&gt;=Cashflow!B33,Premium!$C$28*Inputs!$D$14*Premium_Calculations!D32,0)</f>
        <v>0</v>
      </c>
      <c r="J33" s="47">
        <v>0</v>
      </c>
      <c r="K33" s="47">
        <f>IF(Inputs!$D$10&gt;=Cashflow!B33,Premium!$C$28*Inputs!$D$16*Premium_Calculations!D32,0)</f>
        <v>0</v>
      </c>
      <c r="L33" s="27">
        <f>D33*Premium!$C$23</f>
        <v>0</v>
      </c>
      <c r="M33" s="47">
        <f t="shared" ca="1" si="1"/>
        <v>-1769.0282757800953</v>
      </c>
      <c r="N33" s="48">
        <f ca="1">IF(Inputs!$D$9&gt;=Cashflow!B33,SUM(D33:E33)-SUM(F33:K33)+N32,0)</f>
        <v>6.8212102632969618E-13</v>
      </c>
    </row>
    <row r="34" spans="2:14">
      <c r="B34" s="30">
        <v>31</v>
      </c>
      <c r="C34" s="7">
        <f t="shared" si="0"/>
        <v>70</v>
      </c>
      <c r="D34" s="27">
        <f>IF(Inputs!$D$10&gt;=Cashflow!B34,Premium!$C$28*Premium_Calculations!D33,0)</f>
        <v>0</v>
      </c>
      <c r="E34" s="27">
        <f>IF(Inputs!$D$9&gt;=Cashflow!B34,(D34-I34+N33-K34-H34-J34)*Inputs!$D$12,0)</f>
        <v>0</v>
      </c>
      <c r="F34" s="27">
        <f>Table2[[#This Row],[Benefits]]</f>
        <v>0</v>
      </c>
      <c r="G34" s="47">
        <v>0</v>
      </c>
      <c r="H34" s="47">
        <v>0</v>
      </c>
      <c r="I34" s="47">
        <f>IF(Inputs!$D$10&gt;=Cashflow!B34,Premium!$C$28*Inputs!$D$14*Premium_Calculations!D33,0)</f>
        <v>0</v>
      </c>
      <c r="J34" s="47">
        <v>0</v>
      </c>
      <c r="K34" s="47">
        <f>IF(Inputs!$D$10&gt;=Cashflow!B34,Premium!$C$28*Inputs!$D$16*Premium_Calculations!D33,0)</f>
        <v>0</v>
      </c>
      <c r="L34" s="27">
        <f>D34*Premium!$C$23</f>
        <v>0</v>
      </c>
      <c r="M34" s="47">
        <f t="shared" si="1"/>
        <v>0</v>
      </c>
      <c r="N34" s="48">
        <f>IF(Inputs!$D$9&gt;=Cashflow!B34,SUM(D34:E34)-SUM(F34:K34)+N33,0)</f>
        <v>0</v>
      </c>
    </row>
    <row r="35" spans="2:14">
      <c r="B35" s="30">
        <v>32</v>
      </c>
      <c r="C35" s="7">
        <f t="shared" si="0"/>
        <v>71</v>
      </c>
      <c r="D35" s="27">
        <f>IF(Inputs!$D$10&gt;=Cashflow!B35,Premium!$C$28*Premium_Calculations!D34,0)</f>
        <v>0</v>
      </c>
      <c r="E35" s="27">
        <f>IF(Inputs!$D$9&gt;=Cashflow!B35,(D35-I35+N34-K35-H35-J35)*Inputs!$D$12,0)</f>
        <v>0</v>
      </c>
      <c r="F35" s="27">
        <f>Table2[[#This Row],[Benefits]]</f>
        <v>0</v>
      </c>
      <c r="G35" s="47">
        <v>0</v>
      </c>
      <c r="H35" s="47">
        <v>0</v>
      </c>
      <c r="I35" s="47">
        <f>IF(Inputs!$D$10&gt;=Cashflow!B35,Premium!$C$28*Inputs!$D$14*Premium_Calculations!D34,0)</f>
        <v>0</v>
      </c>
      <c r="J35" s="47">
        <v>0</v>
      </c>
      <c r="K35" s="47">
        <f>IF(Inputs!$D$10&gt;=Cashflow!B35,Premium!$C$28*Inputs!$D$16*Premium_Calculations!D34,0)</f>
        <v>0</v>
      </c>
      <c r="L35" s="27">
        <f>D35*Premium!$C$23</f>
        <v>0</v>
      </c>
      <c r="M35" s="47">
        <f t="shared" si="1"/>
        <v>0</v>
      </c>
      <c r="N35" s="48">
        <f>IF(Inputs!$D$9&gt;=Cashflow!B35,SUM(D35:E35)-SUM(F35:K35)+N34,0)</f>
        <v>0</v>
      </c>
    </row>
    <row r="36" spans="2:14">
      <c r="B36" s="30">
        <v>33</v>
      </c>
      <c r="C36" s="7">
        <f t="shared" si="0"/>
        <v>72</v>
      </c>
      <c r="D36" s="27">
        <f>IF(Inputs!$D$10&gt;=Cashflow!B36,Premium!$C$28*Premium_Calculations!D35,0)</f>
        <v>0</v>
      </c>
      <c r="E36" s="27">
        <f>IF(Inputs!$D$9&gt;=Cashflow!B36,(D36-I36+N35-K36-H36-J36)*Inputs!$D$12,0)</f>
        <v>0</v>
      </c>
      <c r="F36" s="27">
        <f>Table2[[#This Row],[Benefits]]</f>
        <v>0</v>
      </c>
      <c r="G36" s="47">
        <v>0</v>
      </c>
      <c r="H36" s="47">
        <v>0</v>
      </c>
      <c r="I36" s="47">
        <f>IF(Inputs!$D$10&gt;=Cashflow!B36,Premium!$C$28*Inputs!$D$14*Premium_Calculations!D35,0)</f>
        <v>0</v>
      </c>
      <c r="J36" s="47">
        <v>0</v>
      </c>
      <c r="K36" s="47">
        <f>IF(Inputs!$D$10&gt;=Cashflow!B36,Premium!$C$28*Inputs!$D$16*Premium_Calculations!D35,0)</f>
        <v>0</v>
      </c>
      <c r="L36" s="27">
        <f>D36*Premium!$C$23</f>
        <v>0</v>
      </c>
      <c r="M36" s="47">
        <f t="shared" si="1"/>
        <v>0</v>
      </c>
      <c r="N36" s="48">
        <f>IF(Inputs!$D$9&gt;=Cashflow!B36,SUM(D36:E36)-SUM(F36:K36)+N35,0)</f>
        <v>0</v>
      </c>
    </row>
    <row r="37" spans="2:14">
      <c r="B37" s="30">
        <v>34</v>
      </c>
      <c r="C37" s="7">
        <f t="shared" ref="C37:C68" si="2">C36+1</f>
        <v>73</v>
      </c>
      <c r="D37" s="27">
        <f>IF(Inputs!$D$10&gt;=Cashflow!B37,Premium!$C$28*Premium_Calculations!D36,0)</f>
        <v>0</v>
      </c>
      <c r="E37" s="27">
        <f>IF(Inputs!$D$9&gt;=Cashflow!B37,(D37-I37+N36-K37-H37-J37)*Inputs!$D$12,0)</f>
        <v>0</v>
      </c>
      <c r="F37" s="27">
        <f>Table2[[#This Row],[Benefits]]</f>
        <v>0</v>
      </c>
      <c r="G37" s="47">
        <v>0</v>
      </c>
      <c r="H37" s="47">
        <v>0</v>
      </c>
      <c r="I37" s="47">
        <f>IF(Inputs!$D$10&gt;=Cashflow!B37,Premium!$C$28*Inputs!$D$14*Premium_Calculations!D36,0)</f>
        <v>0</v>
      </c>
      <c r="J37" s="47">
        <v>0</v>
      </c>
      <c r="K37" s="47">
        <f>IF(Inputs!$D$10&gt;=Cashflow!B37,Premium!$C$28*Inputs!$D$16*Premium_Calculations!D36,0)</f>
        <v>0</v>
      </c>
      <c r="L37" s="27">
        <f>D37*Premium!$C$23</f>
        <v>0</v>
      </c>
      <c r="M37" s="47">
        <f t="shared" si="1"/>
        <v>0</v>
      </c>
      <c r="N37" s="48">
        <f>IF(Inputs!$D$9&gt;=Cashflow!B37,SUM(D37:E37)-SUM(F37:K37)+N36,0)</f>
        <v>0</v>
      </c>
    </row>
    <row r="38" spans="2:14">
      <c r="B38" s="30">
        <v>35</v>
      </c>
      <c r="C38" s="7">
        <f t="shared" si="2"/>
        <v>74</v>
      </c>
      <c r="D38" s="27">
        <f>IF(Inputs!$D$10&gt;=Cashflow!B38,Premium!$C$28*Premium_Calculations!D37,0)</f>
        <v>0</v>
      </c>
      <c r="E38" s="27">
        <f>IF(Inputs!$D$9&gt;=Cashflow!B38,(D38-I38+N37-K38-H38-J38)*Inputs!$D$12,0)</f>
        <v>0</v>
      </c>
      <c r="F38" s="27">
        <f>Table2[[#This Row],[Benefits]]</f>
        <v>0</v>
      </c>
      <c r="G38" s="47">
        <v>0</v>
      </c>
      <c r="H38" s="47">
        <v>0</v>
      </c>
      <c r="I38" s="47">
        <f>IF(Inputs!$D$10&gt;=Cashflow!B38,Premium!$C$28*Inputs!$D$14*Premium_Calculations!D37,0)</f>
        <v>0</v>
      </c>
      <c r="J38" s="47">
        <v>0</v>
      </c>
      <c r="K38" s="47">
        <f>IF(Inputs!$D$10&gt;=Cashflow!B38,Premium!$C$28*Inputs!$D$16*Premium_Calculations!D37,0)</f>
        <v>0</v>
      </c>
      <c r="L38" s="27">
        <f>D38*Premium!$C$23</f>
        <v>0</v>
      </c>
      <c r="M38" s="47">
        <f t="shared" si="1"/>
        <v>0</v>
      </c>
      <c r="N38" s="48">
        <f>IF(Inputs!$D$9&gt;=Cashflow!B38,SUM(D38:E38)-SUM(F38:K38)+N37,0)</f>
        <v>0</v>
      </c>
    </row>
    <row r="39" spans="2:14">
      <c r="B39" s="30">
        <v>36</v>
      </c>
      <c r="C39" s="7">
        <f t="shared" si="2"/>
        <v>75</v>
      </c>
      <c r="D39" s="27">
        <f>IF(Inputs!$D$10&gt;=Cashflow!B39,Premium!$C$28*Premium_Calculations!D38,0)</f>
        <v>0</v>
      </c>
      <c r="E39" s="27">
        <f>IF(Inputs!$D$9&gt;=Cashflow!B39,(D39-I39+N38-K39-H39-J39)*Inputs!$D$12,0)</f>
        <v>0</v>
      </c>
      <c r="F39" s="27">
        <f>Table2[[#This Row],[Benefits]]</f>
        <v>0</v>
      </c>
      <c r="G39" s="47">
        <v>0</v>
      </c>
      <c r="H39" s="47">
        <v>0</v>
      </c>
      <c r="I39" s="47">
        <f>IF(Inputs!$D$10&gt;=Cashflow!B39,Premium!$C$28*Inputs!$D$14*Premium_Calculations!D38,0)</f>
        <v>0</v>
      </c>
      <c r="J39" s="47">
        <v>0</v>
      </c>
      <c r="K39" s="47">
        <f>IF(Inputs!$D$10&gt;=Cashflow!B39,Premium!$C$28*Inputs!$D$16*Premium_Calculations!D38,0)</f>
        <v>0</v>
      </c>
      <c r="L39" s="27">
        <f>D39*Premium!$C$23</f>
        <v>0</v>
      </c>
      <c r="M39" s="47">
        <f t="shared" si="1"/>
        <v>0</v>
      </c>
      <c r="N39" s="48">
        <f>IF(Inputs!$D$9&gt;=Cashflow!B39,SUM(D39:E39)-SUM(F39:K39)+N38,0)</f>
        <v>0</v>
      </c>
    </row>
    <row r="40" spans="2:14">
      <c r="B40" s="30">
        <v>37</v>
      </c>
      <c r="C40" s="7">
        <f t="shared" si="2"/>
        <v>76</v>
      </c>
      <c r="D40" s="27">
        <f>IF(Inputs!$D$10&gt;=Cashflow!B40,Premium!$C$28*Premium_Calculations!D39,0)</f>
        <v>0</v>
      </c>
      <c r="E40" s="27">
        <f>IF(Inputs!$D$9&gt;=Cashflow!B40,(D40-I40+N39-K40-H40-J40)*Inputs!$D$12,0)</f>
        <v>0</v>
      </c>
      <c r="F40" s="27">
        <f>Table2[[#This Row],[Benefits]]</f>
        <v>0</v>
      </c>
      <c r="G40" s="47">
        <v>0</v>
      </c>
      <c r="H40" s="47">
        <v>0</v>
      </c>
      <c r="I40" s="47">
        <f>IF(Inputs!$D$10&gt;=Cashflow!B40,Premium!$C$28*Inputs!$D$14*Premium_Calculations!D39,0)</f>
        <v>0</v>
      </c>
      <c r="J40" s="47">
        <v>0</v>
      </c>
      <c r="K40" s="47">
        <f>IF(Inputs!$D$10&gt;=Cashflow!B40,Premium!$C$28*Inputs!$D$16*Premium_Calculations!D39,0)</f>
        <v>0</v>
      </c>
      <c r="L40" s="27">
        <f>D40*Premium!$C$23</f>
        <v>0</v>
      </c>
      <c r="M40" s="47">
        <f t="shared" si="1"/>
        <v>0</v>
      </c>
      <c r="N40" s="48">
        <f>IF(Inputs!$D$9&gt;=Cashflow!B40,SUM(D40:E40)-SUM(F40:K40)+N39,0)</f>
        <v>0</v>
      </c>
    </row>
    <row r="41" spans="2:14">
      <c r="B41" s="30">
        <v>38</v>
      </c>
      <c r="C41" s="7">
        <f t="shared" si="2"/>
        <v>77</v>
      </c>
      <c r="D41" s="27">
        <f>IF(Inputs!$D$10&gt;=Cashflow!B41,Premium!$C$28*Premium_Calculations!D40,0)</f>
        <v>0</v>
      </c>
      <c r="E41" s="27">
        <f>IF(Inputs!$D$9&gt;=Cashflow!B41,(D41-I41+N40-K41-H41-J41)*Inputs!$D$12,0)</f>
        <v>0</v>
      </c>
      <c r="F41" s="27">
        <f>Table2[[#This Row],[Benefits]]</f>
        <v>0</v>
      </c>
      <c r="G41" s="47">
        <v>0</v>
      </c>
      <c r="H41" s="47">
        <v>0</v>
      </c>
      <c r="I41" s="47">
        <f>IF(Inputs!$D$10&gt;=Cashflow!B41,Premium!$C$28*Inputs!$D$14*Premium_Calculations!D40,0)</f>
        <v>0</v>
      </c>
      <c r="J41" s="47">
        <v>0</v>
      </c>
      <c r="K41" s="47">
        <f>IF(Inputs!$D$10&gt;=Cashflow!B41,Premium!$C$28*Inputs!$D$16*Premium_Calculations!D40,0)</f>
        <v>0</v>
      </c>
      <c r="L41" s="27">
        <f>D41*Premium!$C$23</f>
        <v>0</v>
      </c>
      <c r="M41" s="47">
        <f t="shared" si="1"/>
        <v>0</v>
      </c>
      <c r="N41" s="48">
        <f>IF(Inputs!$D$9&gt;=Cashflow!B41,SUM(D41:E41)-SUM(F41:K41)+N40,0)</f>
        <v>0</v>
      </c>
    </row>
    <row r="42" spans="2:14">
      <c r="B42" s="30">
        <v>39</v>
      </c>
      <c r="C42" s="7">
        <f t="shared" si="2"/>
        <v>78</v>
      </c>
      <c r="D42" s="27">
        <f>IF(Inputs!$D$10&gt;=Cashflow!B42,Premium!$C$28*Premium_Calculations!D41,0)</f>
        <v>0</v>
      </c>
      <c r="E42" s="27">
        <f>IF(Inputs!$D$9&gt;=Cashflow!B42,(D42-I42+N41-K42-H42-J42)*Inputs!$D$12,0)</f>
        <v>0</v>
      </c>
      <c r="F42" s="27">
        <f>Table2[[#This Row],[Benefits]]</f>
        <v>0</v>
      </c>
      <c r="G42" s="47">
        <v>0</v>
      </c>
      <c r="H42" s="47">
        <v>0</v>
      </c>
      <c r="I42" s="47">
        <f>IF(Inputs!$D$10&gt;=Cashflow!B42,Premium!$C$28*Inputs!$D$14*Premium_Calculations!D41,0)</f>
        <v>0</v>
      </c>
      <c r="J42" s="47">
        <v>0</v>
      </c>
      <c r="K42" s="47">
        <f>IF(Inputs!$D$10&gt;=Cashflow!B42,Premium!$C$28*Inputs!$D$16*Premium_Calculations!D41,0)</f>
        <v>0</v>
      </c>
      <c r="L42" s="27">
        <f>D42*Premium!$C$23</f>
        <v>0</v>
      </c>
      <c r="M42" s="47">
        <f t="shared" si="1"/>
        <v>0</v>
      </c>
      <c r="N42" s="48">
        <f>IF(Inputs!$D$9&gt;=Cashflow!B42,SUM(D42:E42)-SUM(F42:K42)+N41,0)</f>
        <v>0</v>
      </c>
    </row>
    <row r="43" spans="2:14">
      <c r="B43" s="30">
        <v>40</v>
      </c>
      <c r="C43" s="7">
        <f t="shared" si="2"/>
        <v>79</v>
      </c>
      <c r="D43" s="27">
        <f>IF(Inputs!$D$10&gt;=Cashflow!B43,Premium!$C$28*Premium_Calculations!D42,0)</f>
        <v>0</v>
      </c>
      <c r="E43" s="27">
        <f>IF(Inputs!$D$9&gt;=Cashflow!B43,(D43-I43+N42-K43-H43-J43)*Inputs!$D$12,0)</f>
        <v>0</v>
      </c>
      <c r="F43" s="27">
        <f>Table2[[#This Row],[Benefits]]</f>
        <v>0</v>
      </c>
      <c r="G43" s="47">
        <v>0</v>
      </c>
      <c r="H43" s="47">
        <v>0</v>
      </c>
      <c r="I43" s="47">
        <f>IF(Inputs!$D$10&gt;=Cashflow!B43,Premium!$C$28*Inputs!$D$14*Premium_Calculations!D42,0)</f>
        <v>0</v>
      </c>
      <c r="J43" s="47">
        <v>0</v>
      </c>
      <c r="K43" s="47">
        <f>IF(Inputs!$D$10&gt;=Cashflow!B43,Premium!$C$28*Inputs!$D$16*Premium_Calculations!D42,0)</f>
        <v>0</v>
      </c>
      <c r="L43" s="27">
        <f>D43*Premium!$C$23</f>
        <v>0</v>
      </c>
      <c r="M43" s="47">
        <f t="shared" si="1"/>
        <v>0</v>
      </c>
      <c r="N43" s="48">
        <f>IF(Inputs!$D$9&gt;=Cashflow!B43,SUM(D43:E43)-SUM(F43:K43)+N42,0)</f>
        <v>0</v>
      </c>
    </row>
    <row r="44" spans="2:14">
      <c r="B44" s="30">
        <v>41</v>
      </c>
      <c r="C44" s="7">
        <f t="shared" si="2"/>
        <v>80</v>
      </c>
      <c r="D44" s="27">
        <f>IF(Inputs!$D$10&gt;=Cashflow!B44,Premium!$C$28*Premium_Calculations!D43,0)</f>
        <v>0</v>
      </c>
      <c r="E44" s="27">
        <f>IF(Inputs!$D$9&gt;=Cashflow!B44,(D44-I44+N43-K44-H44-J44)*Inputs!$D$12,0)</f>
        <v>0</v>
      </c>
      <c r="F44" s="27">
        <f>Table2[[#This Row],[Benefits]]</f>
        <v>0</v>
      </c>
      <c r="G44" s="47">
        <v>0</v>
      </c>
      <c r="H44" s="47">
        <v>0</v>
      </c>
      <c r="I44" s="47">
        <f>IF(Inputs!$D$10&gt;=Cashflow!B44,Premium!$C$28*Inputs!$D$14*Premium_Calculations!D43,0)</f>
        <v>0</v>
      </c>
      <c r="J44" s="47">
        <v>0</v>
      </c>
      <c r="K44" s="47">
        <f>IF(Inputs!$D$10&gt;=Cashflow!B44,Premium!$C$28*Inputs!$D$16*Premium_Calculations!D43,0)</f>
        <v>0</v>
      </c>
      <c r="L44" s="27">
        <f>D44*Premium!$C$23</f>
        <v>0</v>
      </c>
      <c r="M44" s="47">
        <f t="shared" si="1"/>
        <v>0</v>
      </c>
      <c r="N44" s="48">
        <f>IF(Inputs!$D$9&gt;=Cashflow!B44,SUM(D44:E44)-SUM(F44:K44)+N43,0)</f>
        <v>0</v>
      </c>
    </row>
    <row r="45" spans="2:14">
      <c r="B45" s="30">
        <v>42</v>
      </c>
      <c r="C45" s="7">
        <f t="shared" si="2"/>
        <v>81</v>
      </c>
      <c r="D45" s="27">
        <f>IF(Inputs!$D$10&gt;=Cashflow!B45,Premium!$C$28*Premium_Calculations!D44,0)</f>
        <v>0</v>
      </c>
      <c r="E45" s="27">
        <f>IF(Inputs!$D$9&gt;=Cashflow!B45,(D45-I45+N44-K45-H45-J45)*Inputs!$D$12,0)</f>
        <v>0</v>
      </c>
      <c r="F45" s="27">
        <f>Table2[[#This Row],[Benefits]]</f>
        <v>0</v>
      </c>
      <c r="G45" s="47">
        <v>0</v>
      </c>
      <c r="H45" s="47">
        <v>0</v>
      </c>
      <c r="I45" s="47">
        <f>IF(Inputs!$D$10&gt;=Cashflow!B45,Premium!$C$28*Inputs!$D$14*Premium_Calculations!D44,0)</f>
        <v>0</v>
      </c>
      <c r="J45" s="47">
        <v>0</v>
      </c>
      <c r="K45" s="47">
        <f>IF(Inputs!$D$10&gt;=Cashflow!B45,Premium!$C$28*Inputs!$D$16*Premium_Calculations!D44,0)</f>
        <v>0</v>
      </c>
      <c r="L45" s="27">
        <f>D45*Premium!$C$23</f>
        <v>0</v>
      </c>
      <c r="M45" s="47">
        <f t="shared" si="1"/>
        <v>0</v>
      </c>
      <c r="N45" s="48">
        <f>IF(Inputs!$D$9&gt;=Cashflow!B45,SUM(D45:E45)-SUM(F45:K45)+N44,0)</f>
        <v>0</v>
      </c>
    </row>
    <row r="46" spans="2:14">
      <c r="B46" s="30">
        <v>43</v>
      </c>
      <c r="C46" s="7">
        <f t="shared" si="2"/>
        <v>82</v>
      </c>
      <c r="D46" s="27">
        <f>IF(Inputs!$D$10&gt;=Cashflow!B46,Premium!$C$28*Premium_Calculations!D45,0)</f>
        <v>0</v>
      </c>
      <c r="E46" s="27">
        <f>IF(Inputs!$D$9&gt;=Cashflow!B46,(D46-I46+N45-K46-H46-J46)*Inputs!$D$12,0)</f>
        <v>0</v>
      </c>
      <c r="F46" s="27">
        <f>Table2[[#This Row],[Benefits]]</f>
        <v>0</v>
      </c>
      <c r="G46" s="47">
        <v>0</v>
      </c>
      <c r="H46" s="47">
        <v>0</v>
      </c>
      <c r="I46" s="47">
        <f>IF(Inputs!$D$10&gt;=Cashflow!B46,Premium!$C$28*Inputs!$D$14*Premium_Calculations!D45,0)</f>
        <v>0</v>
      </c>
      <c r="J46" s="47">
        <v>0</v>
      </c>
      <c r="K46" s="47">
        <f>IF(Inputs!$D$10&gt;=Cashflow!B46,Premium!$C$28*Inputs!$D$16*Premium_Calculations!D45,0)</f>
        <v>0</v>
      </c>
      <c r="L46" s="27">
        <f>D46*Premium!$C$23</f>
        <v>0</v>
      </c>
      <c r="M46" s="47">
        <f t="shared" si="1"/>
        <v>0</v>
      </c>
      <c r="N46" s="48">
        <f>IF(Inputs!$D$9&gt;=Cashflow!B46,SUM(D46:E46)-SUM(F46:K46)+N45,0)</f>
        <v>0</v>
      </c>
    </row>
    <row r="47" spans="2:14">
      <c r="B47" s="30">
        <v>44</v>
      </c>
      <c r="C47" s="7">
        <f t="shared" si="2"/>
        <v>83</v>
      </c>
      <c r="D47" s="27">
        <f>IF(Inputs!$D$10&gt;=Cashflow!B47,Premium!$C$28*Premium_Calculations!D46,0)</f>
        <v>0</v>
      </c>
      <c r="E47" s="27">
        <f>IF(Inputs!$D$9&gt;=Cashflow!B47,(D47-I47+N46-K47-H47-J47)*Inputs!$D$12,0)</f>
        <v>0</v>
      </c>
      <c r="F47" s="27">
        <f>Table2[[#This Row],[Benefits]]</f>
        <v>0</v>
      </c>
      <c r="G47" s="47">
        <v>0</v>
      </c>
      <c r="H47" s="47">
        <v>0</v>
      </c>
      <c r="I47" s="47">
        <f>IF(Inputs!$D$10&gt;=Cashflow!B47,Premium!$C$28*Inputs!$D$14*Premium_Calculations!D46,0)</f>
        <v>0</v>
      </c>
      <c r="J47" s="47">
        <v>0</v>
      </c>
      <c r="K47" s="47">
        <f>IF(Inputs!$D$10&gt;=Cashflow!B47,Premium!$C$28*Inputs!$D$16*Premium_Calculations!D46,0)</f>
        <v>0</v>
      </c>
      <c r="L47" s="27">
        <f>D47*Premium!$C$23</f>
        <v>0</v>
      </c>
      <c r="M47" s="47">
        <f t="shared" si="1"/>
        <v>0</v>
      </c>
      <c r="N47" s="48">
        <f>IF(Inputs!$D$9&gt;=Cashflow!B47,SUM(D47:E47)-SUM(F47:K47)+N46,0)</f>
        <v>0</v>
      </c>
    </row>
    <row r="48" spans="2:14">
      <c r="B48" s="30">
        <v>45</v>
      </c>
      <c r="C48" s="7">
        <f t="shared" si="2"/>
        <v>84</v>
      </c>
      <c r="D48" s="27">
        <f>IF(Inputs!$D$10&gt;=Cashflow!B48,Premium!$C$28*Premium_Calculations!D47,0)</f>
        <v>0</v>
      </c>
      <c r="E48" s="27">
        <f>IF(Inputs!$D$9&gt;=Cashflow!B48,(D48-I48+N47-K48-H48-J48)*Inputs!$D$12,0)</f>
        <v>0</v>
      </c>
      <c r="F48" s="27">
        <f>Table2[[#This Row],[Benefits]]</f>
        <v>0</v>
      </c>
      <c r="G48" s="47">
        <v>0</v>
      </c>
      <c r="H48" s="47">
        <v>0</v>
      </c>
      <c r="I48" s="47">
        <f>IF(Inputs!$D$10&gt;=Cashflow!B48,Premium!$C$28*Inputs!$D$14*Premium_Calculations!D47,0)</f>
        <v>0</v>
      </c>
      <c r="J48" s="47">
        <v>0</v>
      </c>
      <c r="K48" s="47">
        <f>IF(Inputs!$D$10&gt;=Cashflow!B48,Premium!$C$28*Inputs!$D$16*Premium_Calculations!D47,0)</f>
        <v>0</v>
      </c>
      <c r="L48" s="27">
        <f>D48*Premium!$C$23</f>
        <v>0</v>
      </c>
      <c r="M48" s="47">
        <f t="shared" si="1"/>
        <v>0</v>
      </c>
      <c r="N48" s="48">
        <f>IF(Inputs!$D$9&gt;=Cashflow!B48,SUM(D48:E48)-SUM(F48:K48)+N47,0)</f>
        <v>0</v>
      </c>
    </row>
    <row r="49" spans="2:14">
      <c r="B49" s="30">
        <v>46</v>
      </c>
      <c r="C49" s="7">
        <f t="shared" si="2"/>
        <v>85</v>
      </c>
      <c r="D49" s="27">
        <f>IF(Inputs!$D$10&gt;=Cashflow!B49,Premium!$C$28*Premium_Calculations!D48,0)</f>
        <v>0</v>
      </c>
      <c r="E49" s="27">
        <f>IF(Inputs!$D$9&gt;=Cashflow!B49,(D49-I49+N48-K49-H49-J49)*Inputs!$D$12,0)</f>
        <v>0</v>
      </c>
      <c r="F49" s="27">
        <f>Table2[[#This Row],[Benefits]]</f>
        <v>0</v>
      </c>
      <c r="G49" s="47">
        <v>0</v>
      </c>
      <c r="H49" s="47">
        <v>0</v>
      </c>
      <c r="I49" s="47">
        <f>IF(Inputs!$D$10&gt;=Cashflow!B49,Premium!$C$28*Inputs!$D$14*Premium_Calculations!D48,0)</f>
        <v>0</v>
      </c>
      <c r="J49" s="47">
        <v>0</v>
      </c>
      <c r="K49" s="47">
        <f>IF(Inputs!$D$10&gt;=Cashflow!B49,Premium!$C$28*Inputs!$D$16*Premium_Calculations!D48,0)</f>
        <v>0</v>
      </c>
      <c r="L49" s="27">
        <f>D49*Premium!$C$23</f>
        <v>0</v>
      </c>
      <c r="M49" s="47">
        <f t="shared" si="1"/>
        <v>0</v>
      </c>
      <c r="N49" s="48">
        <f>IF(Inputs!$D$9&gt;=Cashflow!B49,SUM(D49:E49)-SUM(F49:K49)+N48,0)</f>
        <v>0</v>
      </c>
    </row>
    <row r="50" spans="2:14">
      <c r="B50" s="30">
        <v>47</v>
      </c>
      <c r="C50" s="7">
        <f t="shared" si="2"/>
        <v>86</v>
      </c>
      <c r="D50" s="27">
        <f>IF(Inputs!$D$10&gt;=Cashflow!B50,Premium!$C$28*Premium_Calculations!D49,0)</f>
        <v>0</v>
      </c>
      <c r="E50" s="27">
        <f>IF(Inputs!$D$9&gt;=Cashflow!B50,(D50-I50+N49-K50-H50-J50)*Inputs!$D$12,0)</f>
        <v>0</v>
      </c>
      <c r="F50" s="27">
        <f>Table2[[#This Row],[Benefits]]</f>
        <v>0</v>
      </c>
      <c r="G50" s="47">
        <v>0</v>
      </c>
      <c r="H50" s="47">
        <v>0</v>
      </c>
      <c r="I50" s="47">
        <f>IF(Inputs!$D$10&gt;=Cashflow!B50,Premium!$C$28*Inputs!$D$14*Premium_Calculations!D49,0)</f>
        <v>0</v>
      </c>
      <c r="J50" s="47">
        <v>0</v>
      </c>
      <c r="K50" s="47">
        <f>IF(Inputs!$D$10&gt;=Cashflow!B50,Premium!$C$28*Inputs!$D$16*Premium_Calculations!D49,0)</f>
        <v>0</v>
      </c>
      <c r="L50" s="27">
        <f>D50*Premium!$C$23</f>
        <v>0</v>
      </c>
      <c r="M50" s="47">
        <f t="shared" si="1"/>
        <v>0</v>
      </c>
      <c r="N50" s="48">
        <f>IF(Inputs!$D$9&gt;=Cashflow!B50,SUM(D50:E50)-SUM(F50:K50)+N49,0)</f>
        <v>0</v>
      </c>
    </row>
    <row r="51" spans="2:14">
      <c r="B51" s="30">
        <v>48</v>
      </c>
      <c r="C51" s="7">
        <f t="shared" si="2"/>
        <v>87</v>
      </c>
      <c r="D51" s="27">
        <f>IF(Inputs!$D$10&gt;=Cashflow!B51,Premium!$C$28*Premium_Calculations!D50,0)</f>
        <v>0</v>
      </c>
      <c r="E51" s="27">
        <f>IF(Inputs!$D$9&gt;=Cashflow!B51,(D51-I51+N50-K51-H51-J51)*Inputs!$D$12,0)</f>
        <v>0</v>
      </c>
      <c r="F51" s="27">
        <f>Table2[[#This Row],[Benefits]]</f>
        <v>0</v>
      </c>
      <c r="G51" s="47">
        <v>0</v>
      </c>
      <c r="H51" s="47">
        <v>0</v>
      </c>
      <c r="I51" s="47">
        <f>IF(Inputs!$D$10&gt;=Cashflow!B51,Premium!$C$28*Inputs!$D$14*Premium_Calculations!D50,0)</f>
        <v>0</v>
      </c>
      <c r="J51" s="47">
        <v>0</v>
      </c>
      <c r="K51" s="47">
        <f>IF(Inputs!$D$10&gt;=Cashflow!B51,Premium!$C$28*Inputs!$D$16*Premium_Calculations!D50,0)</f>
        <v>0</v>
      </c>
      <c r="L51" s="27">
        <f>D51*Premium!$C$23</f>
        <v>0</v>
      </c>
      <c r="M51" s="47">
        <f t="shared" si="1"/>
        <v>0</v>
      </c>
      <c r="N51" s="48">
        <f>IF(Inputs!$D$9&gt;=Cashflow!B51,SUM(D51:E51)-SUM(F51:K51)+N50,0)</f>
        <v>0</v>
      </c>
    </row>
    <row r="52" spans="2:14">
      <c r="B52" s="30">
        <v>49</v>
      </c>
      <c r="C52" s="7">
        <f t="shared" si="2"/>
        <v>88</v>
      </c>
      <c r="D52" s="27">
        <f>IF(Inputs!$D$10&gt;=Cashflow!B52,Premium!$C$28*Premium_Calculations!D51,0)</f>
        <v>0</v>
      </c>
      <c r="E52" s="27">
        <f>IF(Inputs!$D$9&gt;=Cashflow!B52,(D52-I52+N51-K52-H52-J52)*Inputs!$D$12,0)</f>
        <v>0</v>
      </c>
      <c r="F52" s="27">
        <f>Table2[[#This Row],[Benefits]]</f>
        <v>0</v>
      </c>
      <c r="G52" s="47">
        <v>0</v>
      </c>
      <c r="H52" s="47">
        <v>0</v>
      </c>
      <c r="I52" s="47">
        <f>IF(Inputs!$D$10&gt;=Cashflow!B52,Premium!$C$28*Inputs!$D$14*Premium_Calculations!D51,0)</f>
        <v>0</v>
      </c>
      <c r="J52" s="47">
        <v>0</v>
      </c>
      <c r="K52" s="47">
        <f>IF(Inputs!$D$10&gt;=Cashflow!B52,Premium!$C$28*Inputs!$D$16*Premium_Calculations!D51,0)</f>
        <v>0</v>
      </c>
      <c r="L52" s="27">
        <f>D52*Premium!$C$23</f>
        <v>0</v>
      </c>
      <c r="M52" s="47">
        <f t="shared" si="1"/>
        <v>0</v>
      </c>
      <c r="N52" s="48">
        <f>IF(Inputs!$D$9&gt;=Cashflow!B52,SUM(D52:E52)-SUM(F52:K52)+N51,0)</f>
        <v>0</v>
      </c>
    </row>
    <row r="53" spans="2:14">
      <c r="B53" s="30">
        <v>50</v>
      </c>
      <c r="C53" s="7">
        <f t="shared" si="2"/>
        <v>89</v>
      </c>
      <c r="D53" s="27">
        <f>IF(Inputs!$D$10&gt;=Cashflow!B53,Premium!$C$28*Premium_Calculations!D52,0)</f>
        <v>0</v>
      </c>
      <c r="E53" s="27">
        <f>IF(Inputs!$D$9&gt;=Cashflow!B53,(D53-I53+N52-K53-H53-J53)*Inputs!$D$12,0)</f>
        <v>0</v>
      </c>
      <c r="F53" s="27">
        <f>Table2[[#This Row],[Benefits]]</f>
        <v>0</v>
      </c>
      <c r="G53" s="47">
        <v>0</v>
      </c>
      <c r="H53" s="47">
        <v>0</v>
      </c>
      <c r="I53" s="47">
        <f>IF(Inputs!$D$10&gt;=Cashflow!B53,Premium!$C$28*Inputs!$D$14*Premium_Calculations!D52,0)</f>
        <v>0</v>
      </c>
      <c r="J53" s="47">
        <v>0</v>
      </c>
      <c r="K53" s="47">
        <f>IF(Inputs!$D$10&gt;=Cashflow!B53,Premium!$C$28*Inputs!$D$16*Premium_Calculations!D52,0)</f>
        <v>0</v>
      </c>
      <c r="L53" s="27">
        <f>D53*Premium!$C$23</f>
        <v>0</v>
      </c>
      <c r="M53" s="47">
        <f t="shared" si="1"/>
        <v>0</v>
      </c>
      <c r="N53" s="48">
        <f>IF(Inputs!$D$9&gt;=Cashflow!B53,SUM(D53:E53)-SUM(F53:K53)+N52,0)</f>
        <v>0</v>
      </c>
    </row>
    <row r="54" spans="2:14">
      <c r="B54" s="30">
        <v>51</v>
      </c>
      <c r="C54" s="7">
        <f t="shared" si="2"/>
        <v>90</v>
      </c>
      <c r="D54" s="27">
        <f>IF(Inputs!$D$10&gt;=Cashflow!B54,Premium!$C$28*Premium_Calculations!D53,0)</f>
        <v>0</v>
      </c>
      <c r="E54" s="27">
        <f>IF(Inputs!$D$9&gt;=Cashflow!B54,(D54-I54+N53-K54-H54-J54)*Inputs!$D$12,0)</f>
        <v>0</v>
      </c>
      <c r="F54" s="27">
        <f>Table2[[#This Row],[Benefits]]</f>
        <v>0</v>
      </c>
      <c r="G54" s="47">
        <v>0</v>
      </c>
      <c r="H54" s="47">
        <v>0</v>
      </c>
      <c r="I54" s="47">
        <f>IF(Inputs!$D$10&gt;=Cashflow!B54,Premium!$C$28*Inputs!$D$14*Premium_Calculations!D53,0)</f>
        <v>0</v>
      </c>
      <c r="J54" s="47">
        <v>0</v>
      </c>
      <c r="K54" s="47">
        <f>IF(Inputs!$D$10&gt;=Cashflow!B54,Premium!$C$28*Inputs!$D$16*Premium_Calculations!D53,0)</f>
        <v>0</v>
      </c>
      <c r="L54" s="27">
        <f>D54*Premium!$C$23</f>
        <v>0</v>
      </c>
      <c r="M54" s="47">
        <f t="shared" si="1"/>
        <v>0</v>
      </c>
      <c r="N54" s="48">
        <f>IF(Inputs!$D$9&gt;=Cashflow!B54,SUM(D54:E54)-SUM(F54:K54)+N53,0)</f>
        <v>0</v>
      </c>
    </row>
    <row r="55" spans="2:14">
      <c r="B55" s="30">
        <v>52</v>
      </c>
      <c r="C55" s="7">
        <f t="shared" si="2"/>
        <v>91</v>
      </c>
      <c r="D55" s="27">
        <f>IF(Inputs!$D$10&gt;=Cashflow!B55,Premium!$C$28*Premium_Calculations!D54,0)</f>
        <v>0</v>
      </c>
      <c r="E55" s="27">
        <f>IF(Inputs!$D$9&gt;=Cashflow!B55,(D55-I55+N54-K55-H55-J55)*Inputs!$D$12,0)</f>
        <v>0</v>
      </c>
      <c r="F55" s="27">
        <f>Table2[[#This Row],[Benefits]]</f>
        <v>0</v>
      </c>
      <c r="G55" s="47">
        <v>0</v>
      </c>
      <c r="H55" s="47">
        <v>0</v>
      </c>
      <c r="I55" s="47">
        <f>IF(Inputs!$D$10&gt;=Cashflow!B55,Premium!$C$28*Inputs!$D$14*Premium_Calculations!D54,0)</f>
        <v>0</v>
      </c>
      <c r="J55" s="47">
        <v>0</v>
      </c>
      <c r="K55" s="47">
        <f>IF(Inputs!$D$10&gt;=Cashflow!B55,Premium!$C$28*Inputs!$D$16*Premium_Calculations!D54,0)</f>
        <v>0</v>
      </c>
      <c r="L55" s="27">
        <f>D55*Premium!$C$23</f>
        <v>0</v>
      </c>
      <c r="M55" s="47">
        <f t="shared" si="1"/>
        <v>0</v>
      </c>
      <c r="N55" s="48">
        <f>IF(Inputs!$D$9&gt;=Cashflow!B55,SUM(D55:E55)-SUM(F55:K55)+N54,0)</f>
        <v>0</v>
      </c>
    </row>
    <row r="56" spans="2:14">
      <c r="B56" s="30">
        <v>53</v>
      </c>
      <c r="C56" s="7">
        <f t="shared" si="2"/>
        <v>92</v>
      </c>
      <c r="D56" s="27">
        <f>IF(Inputs!$D$10&gt;=Cashflow!B56,Premium!$C$28*Premium_Calculations!D55,0)</f>
        <v>0</v>
      </c>
      <c r="E56" s="27">
        <f>IF(Inputs!$D$9&gt;=Cashflow!B56,(D56-I56+N55-K56-H56-J56)*Inputs!$D$12,0)</f>
        <v>0</v>
      </c>
      <c r="F56" s="27">
        <f>Table2[[#This Row],[Benefits]]</f>
        <v>0</v>
      </c>
      <c r="G56" s="47">
        <v>0</v>
      </c>
      <c r="H56" s="47">
        <v>0</v>
      </c>
      <c r="I56" s="47">
        <f>IF(Inputs!$D$10&gt;=Cashflow!B56,Premium!$C$28*Inputs!$D$14*Premium_Calculations!D55,0)</f>
        <v>0</v>
      </c>
      <c r="J56" s="47">
        <v>0</v>
      </c>
      <c r="K56" s="47">
        <f>IF(Inputs!$D$10&gt;=Cashflow!B56,Premium!$C$28*Inputs!$D$16*Premium_Calculations!D55,0)</f>
        <v>0</v>
      </c>
      <c r="L56" s="27">
        <f>D56*Premium!$C$23</f>
        <v>0</v>
      </c>
      <c r="M56" s="47">
        <f t="shared" si="1"/>
        <v>0</v>
      </c>
      <c r="N56" s="48">
        <f>IF(Inputs!$D$9&gt;=Cashflow!B56,SUM(D56:E56)-SUM(F56:K56)+N55,0)</f>
        <v>0</v>
      </c>
    </row>
    <row r="57" spans="2:14">
      <c r="B57" s="30">
        <v>54</v>
      </c>
      <c r="C57" s="7">
        <f t="shared" si="2"/>
        <v>93</v>
      </c>
      <c r="D57" s="27">
        <f>IF(Inputs!$D$10&gt;=Cashflow!B57,Premium!$C$28*Premium_Calculations!D56,0)</f>
        <v>0</v>
      </c>
      <c r="E57" s="27">
        <f>IF(Inputs!$D$9&gt;=Cashflow!B57,(D57-I57+N56-K57-H57-J57)*Inputs!$D$12,0)</f>
        <v>0</v>
      </c>
      <c r="F57" s="27">
        <f>Table2[[#This Row],[Benefits]]</f>
        <v>0</v>
      </c>
      <c r="G57" s="47">
        <v>0</v>
      </c>
      <c r="H57" s="47">
        <v>0</v>
      </c>
      <c r="I57" s="47">
        <f>IF(Inputs!$D$10&gt;=Cashflow!B57,Premium!$C$28*Inputs!$D$14*Premium_Calculations!D56,0)</f>
        <v>0</v>
      </c>
      <c r="J57" s="47">
        <v>0</v>
      </c>
      <c r="K57" s="47">
        <f>IF(Inputs!$D$10&gt;=Cashflow!B57,Premium!$C$28*Inputs!$D$16*Premium_Calculations!D56,0)</f>
        <v>0</v>
      </c>
      <c r="L57" s="27">
        <f>D57*Premium!$C$23</f>
        <v>0</v>
      </c>
      <c r="M57" s="47">
        <f t="shared" si="1"/>
        <v>0</v>
      </c>
      <c r="N57" s="48">
        <f>IF(Inputs!$D$9&gt;=Cashflow!B57,SUM(D57:E57)-SUM(F57:K57)+N56,0)</f>
        <v>0</v>
      </c>
    </row>
    <row r="58" spans="2:14">
      <c r="B58" s="30">
        <v>55</v>
      </c>
      <c r="C58" s="7">
        <f t="shared" si="2"/>
        <v>94</v>
      </c>
      <c r="D58" s="27">
        <f>IF(Inputs!$D$10&gt;=Cashflow!B58,Premium!$C$28*Premium_Calculations!D57,0)</f>
        <v>0</v>
      </c>
      <c r="E58" s="27">
        <f>IF(Inputs!$D$9&gt;=Cashflow!B58,(D58-I58+N57-K58-H58-J58)*Inputs!$D$12,0)</f>
        <v>0</v>
      </c>
      <c r="F58" s="27">
        <f>Table2[[#This Row],[Benefits]]</f>
        <v>0</v>
      </c>
      <c r="G58" s="47">
        <v>0</v>
      </c>
      <c r="H58" s="47">
        <v>0</v>
      </c>
      <c r="I58" s="47">
        <f>IF(Inputs!$D$10&gt;=Cashflow!B58,Premium!$C$28*Inputs!$D$14*Premium_Calculations!D57,0)</f>
        <v>0</v>
      </c>
      <c r="J58" s="47">
        <v>0</v>
      </c>
      <c r="K58" s="47">
        <f>IF(Inputs!$D$10&gt;=Cashflow!B58,Premium!$C$28*Inputs!$D$16*Premium_Calculations!D57,0)</f>
        <v>0</v>
      </c>
      <c r="L58" s="27">
        <f>D58*Premium!$C$23</f>
        <v>0</v>
      </c>
      <c r="M58" s="47">
        <f t="shared" si="1"/>
        <v>0</v>
      </c>
      <c r="N58" s="48">
        <f>IF(Inputs!$D$9&gt;=Cashflow!B58,SUM(D58:E58)-SUM(F58:K58)+N57,0)</f>
        <v>0</v>
      </c>
    </row>
    <row r="59" spans="2:14">
      <c r="B59" s="30">
        <v>56</v>
      </c>
      <c r="C59" s="7">
        <f t="shared" si="2"/>
        <v>95</v>
      </c>
      <c r="D59" s="27">
        <f>IF(Inputs!$D$10&gt;=Cashflow!B59,Premium!$C$28*Premium_Calculations!D58,0)</f>
        <v>0</v>
      </c>
      <c r="E59" s="27">
        <f>IF(Inputs!$D$9&gt;=Cashflow!B59,(D59-I59+N58-K59-H59-J59)*Inputs!$D$12,0)</f>
        <v>0</v>
      </c>
      <c r="F59" s="27">
        <f>Table2[[#This Row],[Benefits]]</f>
        <v>0</v>
      </c>
      <c r="G59" s="47">
        <v>0</v>
      </c>
      <c r="H59" s="47">
        <v>0</v>
      </c>
      <c r="I59" s="47">
        <f>IF(Inputs!$D$10&gt;=Cashflow!B59,Premium!$C$28*Inputs!$D$14*Premium_Calculations!D58,0)</f>
        <v>0</v>
      </c>
      <c r="J59" s="47">
        <v>0</v>
      </c>
      <c r="K59" s="47">
        <f>IF(Inputs!$D$10&gt;=Cashflow!B59,Premium!$C$28*Inputs!$D$16*Premium_Calculations!D58,0)</f>
        <v>0</v>
      </c>
      <c r="L59" s="27">
        <f>D59*Premium!$C$23</f>
        <v>0</v>
      </c>
      <c r="M59" s="47">
        <f t="shared" si="1"/>
        <v>0</v>
      </c>
      <c r="N59" s="48">
        <f>IF(Inputs!$D$9&gt;=Cashflow!B59,SUM(D59:E59)-SUM(F59:K59)+N58,0)</f>
        <v>0</v>
      </c>
    </row>
    <row r="60" spans="2:14">
      <c r="B60" s="30">
        <v>57</v>
      </c>
      <c r="C60" s="7">
        <f t="shared" si="2"/>
        <v>96</v>
      </c>
      <c r="D60" s="27">
        <f>IF(Inputs!$D$10&gt;=Cashflow!B60,Premium!$C$28*Premium_Calculations!D59,0)</f>
        <v>0</v>
      </c>
      <c r="E60" s="27">
        <f>IF(Inputs!$D$9&gt;=Cashflow!B60,(D60-I60+N59-K60-H60-J60)*Inputs!$D$12,0)</f>
        <v>0</v>
      </c>
      <c r="F60" s="27">
        <f>Table2[[#This Row],[Benefits]]</f>
        <v>0</v>
      </c>
      <c r="G60" s="47">
        <v>0</v>
      </c>
      <c r="H60" s="47">
        <v>0</v>
      </c>
      <c r="I60" s="47">
        <f>IF(Inputs!$D$10&gt;=Cashflow!B60,Premium!$C$28*Inputs!$D$14*Premium_Calculations!D59,0)</f>
        <v>0</v>
      </c>
      <c r="J60" s="47">
        <v>0</v>
      </c>
      <c r="K60" s="47">
        <f>IF(Inputs!$D$10&gt;=Cashflow!B60,Premium!$C$28*Inputs!$D$16*Premium_Calculations!D59,0)</f>
        <v>0</v>
      </c>
      <c r="L60" s="27">
        <f>D60*Premium!$C$23</f>
        <v>0</v>
      </c>
      <c r="M60" s="47">
        <f t="shared" si="1"/>
        <v>0</v>
      </c>
      <c r="N60" s="48">
        <f>IF(Inputs!$D$9&gt;=Cashflow!B60,SUM(D60:E60)-SUM(F60:K60)+N59,0)</f>
        <v>0</v>
      </c>
    </row>
    <row r="61" spans="2:14">
      <c r="B61" s="30">
        <v>58</v>
      </c>
      <c r="C61" s="7">
        <f t="shared" si="2"/>
        <v>97</v>
      </c>
      <c r="D61" s="27">
        <f>IF(Inputs!$D$10&gt;=Cashflow!B61,Premium!$C$28*Premium_Calculations!D60,0)</f>
        <v>0</v>
      </c>
      <c r="E61" s="27">
        <f>IF(Inputs!$D$9&gt;=Cashflow!B61,(D61-I61+N60-K61-H61-J61)*Inputs!$D$12,0)</f>
        <v>0</v>
      </c>
      <c r="F61" s="27">
        <f>Table2[[#This Row],[Benefits]]</f>
        <v>0</v>
      </c>
      <c r="G61" s="47">
        <v>0</v>
      </c>
      <c r="H61" s="47">
        <v>0</v>
      </c>
      <c r="I61" s="47">
        <f>IF(Inputs!$D$10&gt;=Cashflow!B61,Premium!$C$28*Inputs!$D$14*Premium_Calculations!D60,0)</f>
        <v>0</v>
      </c>
      <c r="J61" s="47">
        <v>0</v>
      </c>
      <c r="K61" s="47">
        <f>IF(Inputs!$D$10&gt;=Cashflow!B61,Premium!$C$28*Inputs!$D$16*Premium_Calculations!D60,0)</f>
        <v>0</v>
      </c>
      <c r="L61" s="27">
        <f>D61*Premium!$C$23</f>
        <v>0</v>
      </c>
      <c r="M61" s="47">
        <f t="shared" si="1"/>
        <v>0</v>
      </c>
      <c r="N61" s="48">
        <f>IF(Inputs!$D$9&gt;=Cashflow!B61,SUM(D61:E61)-SUM(F61:K61)+N60,0)</f>
        <v>0</v>
      </c>
    </row>
    <row r="62" spans="2:14">
      <c r="B62" s="30">
        <v>59</v>
      </c>
      <c r="C62" s="7">
        <f t="shared" si="2"/>
        <v>98</v>
      </c>
      <c r="D62" s="27">
        <f>IF(Inputs!$D$10&gt;=Cashflow!B62,Premium!$C$28*Premium_Calculations!D61,0)</f>
        <v>0</v>
      </c>
      <c r="E62" s="27">
        <f>IF(Inputs!$D$9&gt;=Cashflow!B62,(D62-I62+N61-K62-H62-J62)*Inputs!$D$12,0)</f>
        <v>0</v>
      </c>
      <c r="F62" s="27">
        <f>Table2[[#This Row],[Benefits]]</f>
        <v>0</v>
      </c>
      <c r="G62" s="47">
        <v>0</v>
      </c>
      <c r="H62" s="47">
        <v>0</v>
      </c>
      <c r="I62" s="47">
        <f>IF(Inputs!$D$10&gt;=Cashflow!B62,Premium!$C$28*Inputs!$D$14*Premium_Calculations!D61,0)</f>
        <v>0</v>
      </c>
      <c r="J62" s="47">
        <v>0</v>
      </c>
      <c r="K62" s="47">
        <f>IF(Inputs!$D$10&gt;=Cashflow!B62,Premium!$C$28*Inputs!$D$16*Premium_Calculations!D61,0)</f>
        <v>0</v>
      </c>
      <c r="L62" s="27">
        <f>D62*Premium!$C$23</f>
        <v>0</v>
      </c>
      <c r="M62" s="47">
        <f t="shared" si="1"/>
        <v>0</v>
      </c>
      <c r="N62" s="48">
        <f>IF(Inputs!$D$9&gt;=Cashflow!B62,SUM(D62:E62)-SUM(F62:K62)+N61,0)</f>
        <v>0</v>
      </c>
    </row>
    <row r="63" spans="2:14">
      <c r="B63" s="30">
        <v>60</v>
      </c>
      <c r="C63" s="7">
        <f t="shared" si="2"/>
        <v>99</v>
      </c>
      <c r="D63" s="27">
        <f>IF(Inputs!$D$10&gt;=Cashflow!B63,Premium!$C$28*Premium_Calculations!D62,0)</f>
        <v>0</v>
      </c>
      <c r="E63" s="27">
        <f>IF(Inputs!$D$9&gt;=Cashflow!B63,(D63-I63+N62-K63-H63-J63)*Inputs!$D$12,0)</f>
        <v>0</v>
      </c>
      <c r="F63" s="27">
        <f>Table2[[#This Row],[Benefits]]</f>
        <v>0</v>
      </c>
      <c r="G63" s="47">
        <v>0</v>
      </c>
      <c r="H63" s="47">
        <v>0</v>
      </c>
      <c r="I63" s="47">
        <f>IF(Inputs!$D$10&gt;=Cashflow!B63,Premium!$C$28*Inputs!$D$14*Premium_Calculations!D62,0)</f>
        <v>0</v>
      </c>
      <c r="J63" s="47">
        <v>0</v>
      </c>
      <c r="K63" s="47">
        <f>IF(Inputs!$D$10&gt;=Cashflow!B63,Premium!$C$28*Inputs!$D$16*Premium_Calculations!D62,0)</f>
        <v>0</v>
      </c>
      <c r="L63" s="27">
        <f>D63*Premium!$C$23</f>
        <v>0</v>
      </c>
      <c r="M63" s="47">
        <f t="shared" si="1"/>
        <v>0</v>
      </c>
      <c r="N63" s="48">
        <f>IF(Inputs!$D$9&gt;=Cashflow!B63,SUM(D63:E63)-SUM(F63:K63)+N62,0)</f>
        <v>0</v>
      </c>
    </row>
    <row r="64" spans="2:14">
      <c r="B64" s="30">
        <v>61</v>
      </c>
      <c r="C64" s="7">
        <f t="shared" si="2"/>
        <v>100</v>
      </c>
      <c r="D64" s="27">
        <f>IF(Inputs!$D$10&gt;=Cashflow!B64,Premium!$C$28*Premium_Calculations!D63,0)</f>
        <v>0</v>
      </c>
      <c r="E64" s="27">
        <f>IF(Inputs!$D$9&gt;=Cashflow!B64,(D64-I64+N63-K64-H64-J64)*Inputs!$D$12,0)</f>
        <v>0</v>
      </c>
      <c r="F64" s="27">
        <f>Table2[[#This Row],[Benefits]]</f>
        <v>0</v>
      </c>
      <c r="G64" s="47">
        <v>0</v>
      </c>
      <c r="H64" s="47">
        <v>0</v>
      </c>
      <c r="I64" s="47">
        <f>IF(Inputs!$D$10&gt;=Cashflow!B64,Premium!$C$28*Inputs!$D$14*Premium_Calculations!D63,0)</f>
        <v>0</v>
      </c>
      <c r="J64" s="47">
        <v>0</v>
      </c>
      <c r="K64" s="47">
        <f>IF(Inputs!$D$10&gt;=Cashflow!B64,Premium!$C$28*Inputs!$D$16*Premium_Calculations!D63,0)</f>
        <v>0</v>
      </c>
      <c r="L64" s="27">
        <f>D64*Premium!$C$23</f>
        <v>0</v>
      </c>
      <c r="M64" s="47">
        <f t="shared" si="1"/>
        <v>0</v>
      </c>
      <c r="N64" s="48">
        <f>IF(Inputs!$D$9&gt;=Cashflow!B64,SUM(D64:E64)-SUM(F64:K64)+N63,0)</f>
        <v>0</v>
      </c>
    </row>
    <row r="65" spans="2:14">
      <c r="B65" s="30">
        <v>62</v>
      </c>
      <c r="C65" s="7">
        <f t="shared" si="2"/>
        <v>101</v>
      </c>
      <c r="D65" s="27">
        <f>IF(Inputs!$D$10&gt;=Cashflow!B65,Premium!$C$28*Premium_Calculations!D64,0)</f>
        <v>0</v>
      </c>
      <c r="E65" s="27">
        <f>IF(Inputs!$D$9&gt;=Cashflow!B65,(D65-I65+N64-K65-H65-J65)*Inputs!$D$12,0)</f>
        <v>0</v>
      </c>
      <c r="F65" s="27">
        <f>Table2[[#This Row],[Benefits]]</f>
        <v>0</v>
      </c>
      <c r="G65" s="47">
        <v>0</v>
      </c>
      <c r="H65" s="47">
        <v>0</v>
      </c>
      <c r="I65" s="47">
        <f>IF(Inputs!$D$10&gt;=Cashflow!B65,Premium!$C$28*Inputs!$D$14*Premium_Calculations!D64,0)</f>
        <v>0</v>
      </c>
      <c r="J65" s="47">
        <v>0</v>
      </c>
      <c r="K65" s="47">
        <f>IF(Inputs!$D$10&gt;=Cashflow!B65,Premium!$C$28*Inputs!$D$16*Premium_Calculations!D64,0)</f>
        <v>0</v>
      </c>
      <c r="L65" s="27">
        <f>D65*Premium!$C$23</f>
        <v>0</v>
      </c>
      <c r="M65" s="47">
        <f t="shared" si="1"/>
        <v>0</v>
      </c>
      <c r="N65" s="48">
        <f>IF(Inputs!$D$9&gt;=Cashflow!B65,SUM(D65:E65)-SUM(F65:K65)+N64,0)</f>
        <v>0</v>
      </c>
    </row>
    <row r="66" spans="2:14">
      <c r="B66" s="30">
        <v>63</v>
      </c>
      <c r="C66" s="7">
        <f t="shared" si="2"/>
        <v>102</v>
      </c>
      <c r="D66" s="27">
        <f>IF(Inputs!$D$10&gt;=Cashflow!B66,Premium!$C$28*Premium_Calculations!D65,0)</f>
        <v>0</v>
      </c>
      <c r="E66" s="27">
        <f>IF(Inputs!$D$9&gt;=Cashflow!B66,(D66-I66+N65-K66-H66-J66)*Inputs!$D$12,0)</f>
        <v>0</v>
      </c>
      <c r="F66" s="27">
        <f>Table2[[#This Row],[Benefits]]</f>
        <v>0</v>
      </c>
      <c r="G66" s="47">
        <v>0</v>
      </c>
      <c r="H66" s="47">
        <v>0</v>
      </c>
      <c r="I66" s="47">
        <f>IF(Inputs!$D$10&gt;=Cashflow!B66,Premium!$C$28*Inputs!$D$14*Premium_Calculations!D65,0)</f>
        <v>0</v>
      </c>
      <c r="J66" s="47">
        <v>0</v>
      </c>
      <c r="K66" s="47">
        <f>IF(Inputs!$D$10&gt;=Cashflow!B66,Premium!$C$28*Inputs!$D$16*Premium_Calculations!D65,0)</f>
        <v>0</v>
      </c>
      <c r="L66" s="27">
        <f>D66*Premium!$C$23</f>
        <v>0</v>
      </c>
      <c r="M66" s="47">
        <f t="shared" si="1"/>
        <v>0</v>
      </c>
      <c r="N66" s="48">
        <f>IF(Inputs!$D$9&gt;=Cashflow!B66,SUM(D66:E66)-SUM(F66:K66)+N65,0)</f>
        <v>0</v>
      </c>
    </row>
    <row r="67" spans="2:14">
      <c r="B67" s="30">
        <v>64</v>
      </c>
      <c r="C67" s="7">
        <f t="shared" si="2"/>
        <v>103</v>
      </c>
      <c r="D67" s="27">
        <f>IF(Inputs!$D$10&gt;=Cashflow!B67,Premium!$C$28*Premium_Calculations!D66,0)</f>
        <v>0</v>
      </c>
      <c r="E67" s="27">
        <f>IF(Inputs!$D$9&gt;=Cashflow!B67,(D67-I67+N66-K67-H67-J67)*Inputs!$D$12,0)</f>
        <v>0</v>
      </c>
      <c r="F67" s="27">
        <f>Table2[[#This Row],[Benefits]]</f>
        <v>0</v>
      </c>
      <c r="G67" s="47">
        <v>0</v>
      </c>
      <c r="H67" s="47">
        <v>0</v>
      </c>
      <c r="I67" s="47">
        <f>IF(Inputs!$D$10&gt;=Cashflow!B67,Premium!$C$28*Inputs!$D$14*Premium_Calculations!D66,0)</f>
        <v>0</v>
      </c>
      <c r="J67" s="47">
        <v>0</v>
      </c>
      <c r="K67" s="47">
        <f>IF(Inputs!$D$10&gt;=Cashflow!B67,Premium!$C$28*Inputs!$D$16*Premium_Calculations!D66,0)</f>
        <v>0</v>
      </c>
      <c r="L67" s="27">
        <f>D67*Premium!$C$23</f>
        <v>0</v>
      </c>
      <c r="M67" s="47">
        <f t="shared" si="1"/>
        <v>0</v>
      </c>
      <c r="N67" s="48">
        <f>IF(Inputs!$D$9&gt;=Cashflow!B67,SUM(D67:E67)-SUM(F67:K67)+N66,0)</f>
        <v>0</v>
      </c>
    </row>
    <row r="68" spans="2:14">
      <c r="B68" s="30">
        <v>65</v>
      </c>
      <c r="C68" s="7">
        <f t="shared" si="2"/>
        <v>104</v>
      </c>
      <c r="D68" s="27">
        <f>IF(Inputs!$D$10&gt;=Cashflow!B68,Premium!$C$28*Premium_Calculations!D67,0)</f>
        <v>0</v>
      </c>
      <c r="E68" s="27">
        <f>IF(Inputs!$D$9&gt;=Cashflow!B68,(D68-I68+N67-K68-H68-J68)*Inputs!$D$12,0)</f>
        <v>0</v>
      </c>
      <c r="F68" s="27">
        <f>Table2[[#This Row],[Benefits]]</f>
        <v>0</v>
      </c>
      <c r="G68" s="47">
        <v>0</v>
      </c>
      <c r="H68" s="47">
        <v>0</v>
      </c>
      <c r="I68" s="47">
        <f>IF(Inputs!$D$10&gt;=Cashflow!B68,Premium!$C$28*Inputs!$D$14*Premium_Calculations!D67,0)</f>
        <v>0</v>
      </c>
      <c r="J68" s="47">
        <v>0</v>
      </c>
      <c r="K68" s="47">
        <f>IF(Inputs!$D$10&gt;=Cashflow!B68,Premium!$C$28*Inputs!$D$16*Premium_Calculations!D67,0)</f>
        <v>0</v>
      </c>
      <c r="L68" s="27">
        <f>D68*Premium!$C$23</f>
        <v>0</v>
      </c>
      <c r="M68" s="47">
        <f t="shared" si="1"/>
        <v>0</v>
      </c>
      <c r="N68" s="48">
        <f>IF(Inputs!$D$9&gt;=Cashflow!B68,SUM(D68:E68)-SUM(F68:K68)+N67,0)</f>
        <v>0</v>
      </c>
    </row>
    <row r="69" spans="2:14">
      <c r="B69" s="30">
        <v>66</v>
      </c>
      <c r="C69" s="7">
        <f t="shared" ref="C69:C85" si="3">C68+1</f>
        <v>105</v>
      </c>
      <c r="D69" s="27">
        <f>IF(Inputs!$D$10&gt;=Cashflow!B69,Premium!$C$28*Premium_Calculations!D68,0)</f>
        <v>0</v>
      </c>
      <c r="E69" s="27">
        <f>IF(Inputs!$D$9&gt;=Cashflow!B69,(D69-I69+N68-K69-H69-J69)*Inputs!$D$12,0)</f>
        <v>0</v>
      </c>
      <c r="F69" s="27">
        <f>Table2[[#This Row],[Benefits]]</f>
        <v>0</v>
      </c>
      <c r="G69" s="47">
        <v>0</v>
      </c>
      <c r="H69" s="47">
        <v>0</v>
      </c>
      <c r="I69" s="47">
        <f>IF(Inputs!$D$10&gt;=Cashflow!B69,Premium!$C$28*Inputs!$D$14*Premium_Calculations!D68,0)</f>
        <v>0</v>
      </c>
      <c r="J69" s="47">
        <v>0</v>
      </c>
      <c r="K69" s="47">
        <f>IF(Inputs!$D$10&gt;=Cashflow!B69,Premium!$C$28*Inputs!$D$16*Premium_Calculations!D68,0)</f>
        <v>0</v>
      </c>
      <c r="L69" s="27">
        <f>D69*Premium!$C$23</f>
        <v>0</v>
      </c>
      <c r="M69" s="47">
        <f t="shared" ref="M69:M85" si="4">SUM(D69:E69)-SUM(F69:K69)</f>
        <v>0</v>
      </c>
      <c r="N69" s="48">
        <f>IF(Inputs!$D$9&gt;=Cashflow!B69,SUM(D69:E69)-SUM(F69:K69)+N68,0)</f>
        <v>0</v>
      </c>
    </row>
    <row r="70" spans="2:14">
      <c r="B70" s="30">
        <v>67</v>
      </c>
      <c r="C70" s="7">
        <f t="shared" si="3"/>
        <v>106</v>
      </c>
      <c r="D70" s="27">
        <f>IF(Inputs!$D$10&gt;=Cashflow!B70,Premium!$C$28*Premium_Calculations!D69,0)</f>
        <v>0</v>
      </c>
      <c r="E70" s="27">
        <f>IF(Inputs!$D$9&gt;=Cashflow!B70,(D70-I70+N69-K70-H70-J70)*Inputs!$D$12,0)</f>
        <v>0</v>
      </c>
      <c r="F70" s="27">
        <f>Table2[[#This Row],[Benefits]]</f>
        <v>0</v>
      </c>
      <c r="G70" s="47">
        <v>0</v>
      </c>
      <c r="H70" s="47">
        <v>0</v>
      </c>
      <c r="I70" s="47">
        <f>IF(Inputs!$D$10&gt;=Cashflow!B70,Premium!$C$28*Inputs!$D$14*Premium_Calculations!D69,0)</f>
        <v>0</v>
      </c>
      <c r="J70" s="47">
        <v>0</v>
      </c>
      <c r="K70" s="47">
        <f>IF(Inputs!$D$10&gt;=Cashflow!B70,Premium!$C$28*Inputs!$D$16*Premium_Calculations!D69,0)</f>
        <v>0</v>
      </c>
      <c r="L70" s="27">
        <f>D70*Premium!$C$23</f>
        <v>0</v>
      </c>
      <c r="M70" s="47">
        <f t="shared" si="4"/>
        <v>0</v>
      </c>
      <c r="N70" s="48">
        <f>IF(Inputs!$D$9&gt;=Cashflow!B70,SUM(D70:E70)-SUM(F70:K70)+N69,0)</f>
        <v>0</v>
      </c>
    </row>
    <row r="71" spans="2:14">
      <c r="B71" s="30">
        <v>68</v>
      </c>
      <c r="C71" s="7">
        <f t="shared" si="3"/>
        <v>107</v>
      </c>
      <c r="D71" s="27">
        <f>IF(Inputs!$D$10&gt;=Cashflow!B71,Premium!$C$28*Premium_Calculations!D70,0)</f>
        <v>0</v>
      </c>
      <c r="E71" s="27">
        <f>IF(Inputs!$D$9&gt;=Cashflow!B71,(D71-I71+N70-K71-H71-J71)*Inputs!$D$12,0)</f>
        <v>0</v>
      </c>
      <c r="F71" s="27">
        <f>Table2[[#This Row],[Benefits]]</f>
        <v>0</v>
      </c>
      <c r="G71" s="47">
        <v>0</v>
      </c>
      <c r="H71" s="47">
        <v>0</v>
      </c>
      <c r="I71" s="47">
        <f>IF(Inputs!$D$10&gt;=Cashflow!B71,Premium!$C$28*Inputs!$D$14*Premium_Calculations!D70,0)</f>
        <v>0</v>
      </c>
      <c r="J71" s="47">
        <v>0</v>
      </c>
      <c r="K71" s="47">
        <f>IF(Inputs!$D$10&gt;=Cashflow!B71,Premium!$C$28*Inputs!$D$16*Premium_Calculations!D70,0)</f>
        <v>0</v>
      </c>
      <c r="L71" s="27">
        <f>D71*Premium!$C$23</f>
        <v>0</v>
      </c>
      <c r="M71" s="47">
        <f t="shared" si="4"/>
        <v>0</v>
      </c>
      <c r="N71" s="48">
        <f>IF(Inputs!$D$9&gt;=Cashflow!B71,SUM(D71:E71)-SUM(F71:K71)+N70,0)</f>
        <v>0</v>
      </c>
    </row>
    <row r="72" spans="2:14">
      <c r="B72" s="30">
        <v>69</v>
      </c>
      <c r="C72" s="7">
        <f t="shared" si="3"/>
        <v>108</v>
      </c>
      <c r="D72" s="27">
        <f>IF(Inputs!$D$10&gt;=Cashflow!B72,Premium!$C$28*Premium_Calculations!D71,0)</f>
        <v>0</v>
      </c>
      <c r="E72" s="27">
        <f>IF(Inputs!$D$9&gt;=Cashflow!B72,(D72-I72+N71-K72-H72-J72)*Inputs!$D$12,0)</f>
        <v>0</v>
      </c>
      <c r="F72" s="27">
        <f>Table2[[#This Row],[Benefits]]</f>
        <v>0</v>
      </c>
      <c r="G72" s="47">
        <v>0</v>
      </c>
      <c r="H72" s="47">
        <v>0</v>
      </c>
      <c r="I72" s="47">
        <f>IF(Inputs!$D$10&gt;=Cashflow!B72,Premium!$C$28*Inputs!$D$14*Premium_Calculations!D71,0)</f>
        <v>0</v>
      </c>
      <c r="J72" s="47">
        <v>0</v>
      </c>
      <c r="K72" s="47">
        <f>IF(Inputs!$D$10&gt;=Cashflow!B72,Premium!$C$28*Inputs!$D$16*Premium_Calculations!D71,0)</f>
        <v>0</v>
      </c>
      <c r="L72" s="27">
        <f>D72*Premium!$C$23</f>
        <v>0</v>
      </c>
      <c r="M72" s="47">
        <f t="shared" si="4"/>
        <v>0</v>
      </c>
      <c r="N72" s="48">
        <f>IF(Inputs!$D$9&gt;=Cashflow!B72,SUM(D72:E72)-SUM(F72:K72)+N71,0)</f>
        <v>0</v>
      </c>
    </row>
    <row r="73" spans="2:14">
      <c r="B73" s="30">
        <v>70</v>
      </c>
      <c r="C73" s="7">
        <f t="shared" si="3"/>
        <v>109</v>
      </c>
      <c r="D73" s="27">
        <f>IF(Inputs!$D$10&gt;=Cashflow!B73,Premium!$C$28*Premium_Calculations!D72,0)</f>
        <v>0</v>
      </c>
      <c r="E73" s="27">
        <f>IF(Inputs!$D$9&gt;=Cashflow!B73,(D73-I73+N72-K73-H73-J73)*Inputs!$D$12,0)</f>
        <v>0</v>
      </c>
      <c r="F73" s="27">
        <f>Table2[[#This Row],[Benefits]]</f>
        <v>0</v>
      </c>
      <c r="G73" s="47">
        <v>0</v>
      </c>
      <c r="H73" s="47">
        <v>0</v>
      </c>
      <c r="I73" s="47">
        <f>IF(Inputs!$D$10&gt;=Cashflow!B73,Premium!$C$28*Inputs!$D$14*Premium_Calculations!D72,0)</f>
        <v>0</v>
      </c>
      <c r="J73" s="47">
        <v>0</v>
      </c>
      <c r="K73" s="47">
        <f>IF(Inputs!$D$10&gt;=Cashflow!B73,Premium!$C$28*Inputs!$D$16*Premium_Calculations!D72,0)</f>
        <v>0</v>
      </c>
      <c r="L73" s="27">
        <f>D73*Premium!$C$23</f>
        <v>0</v>
      </c>
      <c r="M73" s="47">
        <f t="shared" si="4"/>
        <v>0</v>
      </c>
      <c r="N73" s="48">
        <f>IF(Inputs!$D$9&gt;=Cashflow!B73,SUM(D73:E73)-SUM(F73:K73)+N72,0)</f>
        <v>0</v>
      </c>
    </row>
    <row r="74" spans="2:14">
      <c r="B74" s="30">
        <v>71</v>
      </c>
      <c r="C74" s="7">
        <f t="shared" si="3"/>
        <v>110</v>
      </c>
      <c r="D74" s="27">
        <f>IF(Inputs!$D$10&gt;=Cashflow!B74,Premium!$C$28*Premium_Calculations!D73,0)</f>
        <v>0</v>
      </c>
      <c r="E74" s="27">
        <f>IF(Inputs!$D$9&gt;=Cashflow!B74,(D74-I74+N73-K74-H74-J74)*Inputs!$D$12,0)</f>
        <v>0</v>
      </c>
      <c r="F74" s="27">
        <f>Table2[[#This Row],[Benefits]]</f>
        <v>0</v>
      </c>
      <c r="G74" s="47">
        <v>0</v>
      </c>
      <c r="H74" s="47">
        <v>0</v>
      </c>
      <c r="I74" s="47">
        <f>IF(Inputs!$D$10&gt;=Cashflow!B74,Premium!$C$28*Inputs!$D$14*Premium_Calculations!D73,0)</f>
        <v>0</v>
      </c>
      <c r="J74" s="47">
        <v>0</v>
      </c>
      <c r="K74" s="47">
        <f>IF(Inputs!$D$10&gt;=Cashflow!B74,Premium!$C$28*Inputs!$D$16*Premium_Calculations!D73,0)</f>
        <v>0</v>
      </c>
      <c r="L74" s="27">
        <f>D74*Premium!$C$23</f>
        <v>0</v>
      </c>
      <c r="M74" s="47">
        <f t="shared" si="4"/>
        <v>0</v>
      </c>
      <c r="N74" s="48">
        <f>IF(Inputs!$D$9&gt;=Cashflow!B74,SUM(D74:E74)-SUM(F74:K74)+N73,0)</f>
        <v>0</v>
      </c>
    </row>
    <row r="75" spans="2:14">
      <c r="B75" s="30">
        <v>72</v>
      </c>
      <c r="C75" s="7">
        <f t="shared" si="3"/>
        <v>111</v>
      </c>
      <c r="D75" s="27">
        <f>IF(Inputs!$D$10&gt;=Cashflow!B75,Premium!$C$28*Premium_Calculations!D74,0)</f>
        <v>0</v>
      </c>
      <c r="E75" s="27">
        <f>IF(Inputs!$D$9&gt;=Cashflow!B75,(D75-I75+N74-K75-H75-J75)*Inputs!$D$12,0)</f>
        <v>0</v>
      </c>
      <c r="F75" s="27">
        <f>Table2[[#This Row],[Benefits]]</f>
        <v>0</v>
      </c>
      <c r="G75" s="47">
        <v>0</v>
      </c>
      <c r="H75" s="47">
        <v>0</v>
      </c>
      <c r="I75" s="47">
        <f>IF(Inputs!$D$10&gt;=Cashflow!B75,Premium!$C$28*Inputs!$D$14*Premium_Calculations!D74,0)</f>
        <v>0</v>
      </c>
      <c r="J75" s="47">
        <v>0</v>
      </c>
      <c r="K75" s="47">
        <f>IF(Inputs!$D$10&gt;=Cashflow!B75,Premium!$C$28*Inputs!$D$16*Premium_Calculations!D74,0)</f>
        <v>0</v>
      </c>
      <c r="L75" s="27">
        <f>D75*Premium!$C$23</f>
        <v>0</v>
      </c>
      <c r="M75" s="47">
        <f t="shared" si="4"/>
        <v>0</v>
      </c>
      <c r="N75" s="48">
        <f>IF(Inputs!$D$9&gt;=Cashflow!B75,SUM(D75:E75)-SUM(F75:K75)+N74,0)</f>
        <v>0</v>
      </c>
    </row>
    <row r="76" spans="2:14">
      <c r="B76" s="30">
        <v>73</v>
      </c>
      <c r="C76" s="7">
        <f t="shared" si="3"/>
        <v>112</v>
      </c>
      <c r="D76" s="27">
        <f>IF(Inputs!$D$10&gt;=Cashflow!B76,Premium!$C$28*Premium_Calculations!D75,0)</f>
        <v>0</v>
      </c>
      <c r="E76" s="27">
        <f>IF(Inputs!$D$9&gt;=Cashflow!B76,(D76-I76+N75-K76-H76-J76)*Inputs!$D$12,0)</f>
        <v>0</v>
      </c>
      <c r="F76" s="27">
        <f>Table2[[#This Row],[Benefits]]</f>
        <v>0</v>
      </c>
      <c r="G76" s="47">
        <v>0</v>
      </c>
      <c r="H76" s="47">
        <v>0</v>
      </c>
      <c r="I76" s="47">
        <f>IF(Inputs!$D$10&gt;=Cashflow!B76,Premium!$C$28*Inputs!$D$14*Premium_Calculations!D75,0)</f>
        <v>0</v>
      </c>
      <c r="J76" s="47">
        <v>0</v>
      </c>
      <c r="K76" s="47">
        <f>IF(Inputs!$D$10&gt;=Cashflow!B76,Premium!$C$28*Inputs!$D$16*Premium_Calculations!D75,0)</f>
        <v>0</v>
      </c>
      <c r="L76" s="27">
        <f>D76*Premium!$C$23</f>
        <v>0</v>
      </c>
      <c r="M76" s="47">
        <f t="shared" si="4"/>
        <v>0</v>
      </c>
      <c r="N76" s="48">
        <f>IF(Inputs!$D$9&gt;=Cashflow!B76,SUM(D76:E76)-SUM(F76:K76)+N75,0)</f>
        <v>0</v>
      </c>
    </row>
    <row r="77" spans="2:14">
      <c r="B77" s="30">
        <v>74</v>
      </c>
      <c r="C77" s="7">
        <f t="shared" si="3"/>
        <v>113</v>
      </c>
      <c r="D77" s="27">
        <f>IF(Inputs!$D$10&gt;=Cashflow!B77,Premium!$C$28*Premium_Calculations!D76,0)</f>
        <v>0</v>
      </c>
      <c r="E77" s="27">
        <f>IF(Inputs!$D$9&gt;=Cashflow!B77,(D77-I77+N76-K77-H77-J77)*Inputs!$D$12,0)</f>
        <v>0</v>
      </c>
      <c r="F77" s="27">
        <f>Table2[[#This Row],[Benefits]]</f>
        <v>0</v>
      </c>
      <c r="G77" s="47">
        <v>0</v>
      </c>
      <c r="H77" s="47">
        <v>0</v>
      </c>
      <c r="I77" s="47">
        <f>IF(Inputs!$D$10&gt;=Cashflow!B77,Premium!$C$28*Inputs!$D$14*Premium_Calculations!D76,0)</f>
        <v>0</v>
      </c>
      <c r="J77" s="47">
        <v>0</v>
      </c>
      <c r="K77" s="47">
        <f>IF(Inputs!$D$10&gt;=Cashflow!B77,Premium!$C$28*Inputs!$D$16*Premium_Calculations!D76,0)</f>
        <v>0</v>
      </c>
      <c r="L77" s="27">
        <f>D77*Premium!$C$23</f>
        <v>0</v>
      </c>
      <c r="M77" s="47">
        <f t="shared" si="4"/>
        <v>0</v>
      </c>
      <c r="N77" s="48">
        <f>IF(Inputs!$D$9&gt;=Cashflow!B77,SUM(D77:E77)-SUM(F77:K77)+N76,0)</f>
        <v>0</v>
      </c>
    </row>
    <row r="78" spans="2:14">
      <c r="B78" s="30">
        <v>75</v>
      </c>
      <c r="C78" s="7">
        <f t="shared" si="3"/>
        <v>114</v>
      </c>
      <c r="D78" s="27">
        <f>IF(Inputs!$D$10&gt;=Cashflow!B78,Premium!$C$28*Premium_Calculations!D77,0)</f>
        <v>0</v>
      </c>
      <c r="E78" s="27">
        <f>IF(Inputs!$D$9&gt;=Cashflow!B78,(D78-I78+N77-K78-H78-J78)*Inputs!$D$12,0)</f>
        <v>0</v>
      </c>
      <c r="F78" s="27">
        <f>Table2[[#This Row],[Benefits]]</f>
        <v>0</v>
      </c>
      <c r="G78" s="47">
        <v>0</v>
      </c>
      <c r="H78" s="47">
        <v>0</v>
      </c>
      <c r="I78" s="47">
        <f>IF(Inputs!$D$10&gt;=Cashflow!B78,Premium!$C$28*Inputs!$D$14*Premium_Calculations!D77,0)</f>
        <v>0</v>
      </c>
      <c r="J78" s="47">
        <v>0</v>
      </c>
      <c r="K78" s="47">
        <f>IF(Inputs!$D$10&gt;=Cashflow!B78,Premium!$C$28*Inputs!$D$16*Premium_Calculations!D77,0)</f>
        <v>0</v>
      </c>
      <c r="L78" s="27">
        <f>D78*Premium!$C$23</f>
        <v>0</v>
      </c>
      <c r="M78" s="47">
        <f t="shared" si="4"/>
        <v>0</v>
      </c>
      <c r="N78" s="48">
        <f>IF(Inputs!$D$9&gt;=Cashflow!B78,SUM(D78:E78)-SUM(F78:K78)+N77,0)</f>
        <v>0</v>
      </c>
    </row>
    <row r="79" spans="2:14">
      <c r="B79" s="30">
        <v>76</v>
      </c>
      <c r="C79" s="7">
        <f t="shared" si="3"/>
        <v>115</v>
      </c>
      <c r="D79" s="27">
        <f>IF(Inputs!$D$10&gt;=Cashflow!B79,Premium!$C$28*Premium_Calculations!D78,0)</f>
        <v>0</v>
      </c>
      <c r="E79" s="27">
        <f>IF(Inputs!$D$9&gt;=Cashflow!B79,(D79-I79+N78-K79-H79-J79)*Inputs!$D$12,0)</f>
        <v>0</v>
      </c>
      <c r="F79" s="27">
        <f>Table2[[#This Row],[Benefits]]</f>
        <v>0</v>
      </c>
      <c r="G79" s="47">
        <v>0</v>
      </c>
      <c r="H79" s="47">
        <v>0</v>
      </c>
      <c r="I79" s="47">
        <f>IF(Inputs!$D$10&gt;=Cashflow!B79,Premium!$C$28*Inputs!$D$14*Premium_Calculations!D78,0)</f>
        <v>0</v>
      </c>
      <c r="J79" s="47">
        <v>0</v>
      </c>
      <c r="K79" s="47">
        <f>IF(Inputs!$D$10&gt;=Cashflow!B79,Premium!$C$28*Inputs!$D$16*Premium_Calculations!D78,0)</f>
        <v>0</v>
      </c>
      <c r="L79" s="27">
        <f>D79*Premium!$C$23</f>
        <v>0</v>
      </c>
      <c r="M79" s="47">
        <f t="shared" si="4"/>
        <v>0</v>
      </c>
      <c r="N79" s="48">
        <f>IF(Inputs!$D$9&gt;=Cashflow!B79,SUM(D79:E79)-SUM(F79:K79)+N78,0)</f>
        <v>0</v>
      </c>
    </row>
    <row r="80" spans="2:14">
      <c r="B80" s="30">
        <v>77</v>
      </c>
      <c r="C80" s="7">
        <f t="shared" si="3"/>
        <v>116</v>
      </c>
      <c r="D80" s="27">
        <f>IF(Inputs!$D$10&gt;=Cashflow!B80,Premium!$C$28*Premium_Calculations!D79,0)</f>
        <v>0</v>
      </c>
      <c r="E80" s="27">
        <f>IF(Inputs!$D$9&gt;=Cashflow!B80,(D80-I80+N79-K80-H80-J80)*Inputs!$D$12,0)</f>
        <v>0</v>
      </c>
      <c r="F80" s="27">
        <f>Table2[[#This Row],[Benefits]]</f>
        <v>0</v>
      </c>
      <c r="G80" s="47">
        <v>0</v>
      </c>
      <c r="H80" s="47">
        <v>0</v>
      </c>
      <c r="I80" s="47">
        <f>IF(Inputs!$D$10&gt;=Cashflow!B80,Premium!$C$28*Inputs!$D$14*Premium_Calculations!D79,0)</f>
        <v>0</v>
      </c>
      <c r="J80" s="47">
        <v>0</v>
      </c>
      <c r="K80" s="47">
        <f>IF(Inputs!$D$10&gt;=Cashflow!B80,Premium!$C$28*Inputs!$D$16*Premium_Calculations!D79,0)</f>
        <v>0</v>
      </c>
      <c r="L80" s="27">
        <f>D80*Premium!$C$23</f>
        <v>0</v>
      </c>
      <c r="M80" s="47">
        <f t="shared" si="4"/>
        <v>0</v>
      </c>
      <c r="N80" s="48">
        <f>IF(Inputs!$D$9&gt;=Cashflow!B80,SUM(D80:E80)-SUM(F80:K80)+N79,0)</f>
        <v>0</v>
      </c>
    </row>
    <row r="81" spans="2:14">
      <c r="B81" s="30">
        <v>78</v>
      </c>
      <c r="C81" s="7">
        <f t="shared" si="3"/>
        <v>117</v>
      </c>
      <c r="D81" s="27">
        <f>IF(Inputs!$D$10&gt;=Cashflow!B81,Premium!$C$28*Premium_Calculations!D80,0)</f>
        <v>0</v>
      </c>
      <c r="E81" s="27">
        <f>IF(Inputs!$D$9&gt;=Cashflow!B81,(D81-I81+N80-K81-H81-J81)*Inputs!$D$12,0)</f>
        <v>0</v>
      </c>
      <c r="F81" s="27">
        <f>Table2[[#This Row],[Benefits]]</f>
        <v>0</v>
      </c>
      <c r="G81" s="47">
        <v>0</v>
      </c>
      <c r="H81" s="47">
        <v>0</v>
      </c>
      <c r="I81" s="47">
        <f>IF(Inputs!$D$10&gt;=Cashflow!B81,Premium!$C$28*Inputs!$D$14*Premium_Calculations!D80,0)</f>
        <v>0</v>
      </c>
      <c r="J81" s="47">
        <v>0</v>
      </c>
      <c r="K81" s="47">
        <f>IF(Inputs!$D$10&gt;=Cashflow!B81,Premium!$C$28*Inputs!$D$16*Premium_Calculations!D80,0)</f>
        <v>0</v>
      </c>
      <c r="L81" s="27">
        <f>D81*Premium!$C$23</f>
        <v>0</v>
      </c>
      <c r="M81" s="47">
        <f t="shared" si="4"/>
        <v>0</v>
      </c>
      <c r="N81" s="48">
        <f>IF(Inputs!$D$9&gt;=Cashflow!B81,SUM(D81:E81)-SUM(F81:K81)+N80,0)</f>
        <v>0</v>
      </c>
    </row>
    <row r="82" spans="2:14">
      <c r="B82" s="30">
        <v>79</v>
      </c>
      <c r="C82" s="7">
        <f t="shared" si="3"/>
        <v>118</v>
      </c>
      <c r="D82" s="27">
        <f>IF(Inputs!$D$10&gt;=Cashflow!B82,Premium!$C$28*Premium_Calculations!D81,0)</f>
        <v>0</v>
      </c>
      <c r="E82" s="27">
        <f>IF(Inputs!$D$9&gt;=Cashflow!B82,(D82-I82+N81-K82-H82-J82)*Inputs!$D$12,0)</f>
        <v>0</v>
      </c>
      <c r="F82" s="27">
        <f>Table2[[#This Row],[Benefits]]</f>
        <v>0</v>
      </c>
      <c r="G82" s="47">
        <v>0</v>
      </c>
      <c r="H82" s="47">
        <v>0</v>
      </c>
      <c r="I82" s="47">
        <f>IF(Inputs!$D$10&gt;=Cashflow!B82,Premium!$C$28*Inputs!$D$14*Premium_Calculations!D81,0)</f>
        <v>0</v>
      </c>
      <c r="J82" s="47">
        <v>0</v>
      </c>
      <c r="K82" s="47">
        <f>IF(Inputs!$D$10&gt;=Cashflow!B82,Premium!$C$28*Inputs!$D$16*Premium_Calculations!D81,0)</f>
        <v>0</v>
      </c>
      <c r="L82" s="27">
        <f>D82*Premium!$C$23</f>
        <v>0</v>
      </c>
      <c r="M82" s="47">
        <f t="shared" si="4"/>
        <v>0</v>
      </c>
      <c r="N82" s="48">
        <f>IF(Inputs!$D$9&gt;=Cashflow!B82,SUM(D82:E82)-SUM(F82:K82)+N81,0)</f>
        <v>0</v>
      </c>
    </row>
    <row r="83" spans="2:14">
      <c r="B83" s="30">
        <v>80</v>
      </c>
      <c r="C83" s="7">
        <f t="shared" si="3"/>
        <v>119</v>
      </c>
      <c r="D83" s="27">
        <f>IF(Inputs!$D$10&gt;=Cashflow!B83,Premium!$C$28*Premium_Calculations!D82,0)</f>
        <v>0</v>
      </c>
      <c r="E83" s="27">
        <f>IF(Inputs!$D$9&gt;=Cashflow!B83,(D83-I83+N82-K83-H83-J83)*Inputs!$D$12,0)</f>
        <v>0</v>
      </c>
      <c r="F83" s="27">
        <f>Table2[[#This Row],[Benefits]]</f>
        <v>0</v>
      </c>
      <c r="G83" s="47">
        <v>0</v>
      </c>
      <c r="H83" s="47">
        <v>0</v>
      </c>
      <c r="I83" s="47">
        <f>IF(Inputs!$D$10&gt;=Cashflow!B83,Premium!$C$28*Inputs!$D$14*Premium_Calculations!D82,0)</f>
        <v>0</v>
      </c>
      <c r="J83" s="47">
        <v>0</v>
      </c>
      <c r="K83" s="47">
        <f>IF(Inputs!$D$10&gt;=Cashflow!B83,Premium!$C$28*Inputs!$D$16*Premium_Calculations!D82,0)</f>
        <v>0</v>
      </c>
      <c r="L83" s="27">
        <f>D83*Premium!$C$23</f>
        <v>0</v>
      </c>
      <c r="M83" s="47">
        <f t="shared" si="4"/>
        <v>0</v>
      </c>
      <c r="N83" s="48">
        <f>IF(Inputs!$D$9&gt;=Cashflow!B83,SUM(D83:E83)-SUM(F83:K83)+N82,0)</f>
        <v>0</v>
      </c>
    </row>
    <row r="84" spans="2:14">
      <c r="B84" s="30">
        <v>81</v>
      </c>
      <c r="C84" s="7">
        <f t="shared" si="3"/>
        <v>120</v>
      </c>
      <c r="D84" s="27">
        <f>IF(Inputs!$D$10&gt;=Cashflow!B84,Premium!$C$28*Premium_Calculations!D83,0)</f>
        <v>0</v>
      </c>
      <c r="E84" s="27">
        <f>IF(Inputs!$D$9&gt;=Cashflow!B84,(D84-I84+N83-K84-H84-J84)*Inputs!$D$12,0)</f>
        <v>0</v>
      </c>
      <c r="F84" s="27">
        <f>Table2[[#This Row],[Benefits]]</f>
        <v>0</v>
      </c>
      <c r="G84" s="47">
        <v>0</v>
      </c>
      <c r="H84" s="47">
        <v>0</v>
      </c>
      <c r="I84" s="47">
        <f>IF(Inputs!$D$10&gt;=Cashflow!B84,Premium!$C$28*Inputs!$D$14*Premium_Calculations!D83,0)</f>
        <v>0</v>
      </c>
      <c r="J84" s="47">
        <v>0</v>
      </c>
      <c r="K84" s="47">
        <f>IF(Inputs!$D$10&gt;=Cashflow!B84,Premium!$C$28*Inputs!$D$16*Premium_Calculations!D83,0)</f>
        <v>0</v>
      </c>
      <c r="L84" s="27">
        <f>D84*Premium!$C$23</f>
        <v>0</v>
      </c>
      <c r="M84" s="47">
        <f t="shared" si="4"/>
        <v>0</v>
      </c>
      <c r="N84" s="48">
        <f>IF(Inputs!$D$9&gt;=Cashflow!B84,SUM(D84:E84)-SUM(F84:K84)+N83,0)</f>
        <v>0</v>
      </c>
    </row>
    <row r="85" spans="2:14" ht="15.75" thickBot="1">
      <c r="B85" s="31">
        <v>82</v>
      </c>
      <c r="C85" s="32">
        <f t="shared" si="3"/>
        <v>121</v>
      </c>
      <c r="D85" s="27">
        <f>IF(Inputs!$D$10&gt;=Cashflow!B85,Premium!$C$28*Premium_Calculations!D84,0)</f>
        <v>0</v>
      </c>
      <c r="E85" s="27">
        <f>IF(Inputs!$D$9&gt;=Cashflow!B85,(D85-I85+N84-K85-H85-J85)*Inputs!$D$12,0)</f>
        <v>0</v>
      </c>
      <c r="F85" s="50">
        <f>Table2[[#This Row],[Benefits]]</f>
        <v>0</v>
      </c>
      <c r="G85" s="47">
        <v>0</v>
      </c>
      <c r="H85" s="47">
        <v>0</v>
      </c>
      <c r="I85" s="47">
        <f>IF(Inputs!$D$10&gt;=Cashflow!B85,Premium!$C$28*Inputs!$D$14*Premium_Calculations!D84,0)</f>
        <v>0</v>
      </c>
      <c r="J85" s="47">
        <v>0</v>
      </c>
      <c r="K85" s="47">
        <f>IF(Inputs!$D$10&gt;=Cashflow!B85,Premium!$C$28*Inputs!$D$16*Premium_Calculations!D84,0)</f>
        <v>0</v>
      </c>
      <c r="L85" s="50">
        <f>D85*Premium!$C$23</f>
        <v>0</v>
      </c>
      <c r="M85" s="47">
        <f t="shared" si="4"/>
        <v>0</v>
      </c>
      <c r="N85" s="48">
        <f>IF(Inputs!$D$9&gt;=Cashflow!B85,SUM(D85:E85)-SUM(F85:K85)+N84,0)</f>
        <v>0</v>
      </c>
    </row>
    <row r="86" spans="2:14" ht="15.75" thickBot="1">
      <c r="B86" s="51" t="s">
        <v>47</v>
      </c>
      <c r="C86" s="52"/>
      <c r="D86" s="53">
        <f t="shared" ref="D86:K86" ca="1" si="5">SUM(D4:D85)</f>
        <v>12014.000702121997</v>
      </c>
      <c r="E86" s="53">
        <f t="shared" ca="1" si="5"/>
        <v>8075.7807918204871</v>
      </c>
      <c r="F86" s="53">
        <f t="shared" si="5"/>
        <v>18285.100963343029</v>
      </c>
      <c r="G86" s="53">
        <f t="shared" si="5"/>
        <v>0</v>
      </c>
      <c r="H86" s="53">
        <f t="shared" ca="1" si="5"/>
        <v>183.47105824026653</v>
      </c>
      <c r="I86" s="53">
        <f t="shared" ca="1" si="5"/>
        <v>684.14583047926635</v>
      </c>
      <c r="J86" s="53">
        <f t="shared" ca="1" si="5"/>
        <v>366.94211648053306</v>
      </c>
      <c r="K86" s="53">
        <f t="shared" ca="1" si="5"/>
        <v>570.1215253993887</v>
      </c>
      <c r="L86" s="53">
        <f ca="1">D86*Premium!$C$23</f>
        <v>3604.200210636599</v>
      </c>
      <c r="M86" s="53">
        <f ca="1">SUM(M4:M85)</f>
        <v>6.8212102632969618E-13</v>
      </c>
      <c r="N86" s="54">
        <f ca="1">SUM(N4:N85)</f>
        <v>151306.29566488718</v>
      </c>
    </row>
  </sheetData>
  <mergeCells count="4">
    <mergeCell ref="H2:I2"/>
    <mergeCell ref="J2:K2"/>
    <mergeCell ref="F2:G2"/>
    <mergeCell ref="D2:E2"/>
  </mergeCells>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B5DE-9257-4616-9BFE-2A7AF8A5476D}">
  <dimension ref="B2:I35"/>
  <sheetViews>
    <sheetView showGridLines="0" zoomScale="60" zoomScaleNormal="60" workbookViewId="0">
      <selection activeCell="S28" sqref="S28"/>
    </sheetView>
  </sheetViews>
  <sheetFormatPr defaultRowHeight="15"/>
  <cols>
    <col min="2" max="2" width="22.42578125" customWidth="1"/>
    <col min="3" max="3" width="17.28515625" customWidth="1"/>
  </cols>
  <sheetData>
    <row r="2" spans="2:9" ht="15.75" thickBot="1"/>
    <row r="3" spans="2:9" ht="15.75" thickBot="1">
      <c r="B3" s="148" t="s">
        <v>42</v>
      </c>
      <c r="C3" s="149"/>
      <c r="D3" s="6"/>
      <c r="E3" s="6"/>
      <c r="F3" s="6"/>
      <c r="G3" s="6"/>
      <c r="H3" s="6"/>
      <c r="I3" s="6"/>
    </row>
    <row r="4" spans="2:9" ht="15.75" thickBot="1">
      <c r="B4" s="143" t="s">
        <v>28</v>
      </c>
      <c r="C4" s="145"/>
    </row>
    <row r="5" spans="2:9">
      <c r="B5" s="61" t="s">
        <v>1</v>
      </c>
      <c r="C5" s="62" t="str">
        <f>Inputs!$D$5</f>
        <v>POL0001</v>
      </c>
    </row>
    <row r="6" spans="2:9">
      <c r="B6" s="63" t="s">
        <v>3</v>
      </c>
      <c r="C6" s="64" t="str">
        <f>Inputs!$D$6</f>
        <v>Amit Sharma</v>
      </c>
    </row>
    <row r="7" spans="2:9">
      <c r="B7" s="63" t="s">
        <v>24</v>
      </c>
      <c r="C7" s="64" t="str">
        <f>Inputs!$D$19</f>
        <v>Term</v>
      </c>
    </row>
    <row r="8" spans="2:9">
      <c r="B8" s="63" t="s">
        <v>5</v>
      </c>
      <c r="C8" s="64">
        <f>Inputs!$D$7</f>
        <v>40</v>
      </c>
    </row>
    <row r="9" spans="2:9">
      <c r="B9" s="63" t="s">
        <v>6</v>
      </c>
      <c r="C9" s="64" t="str">
        <f>Inputs!$D$8</f>
        <v>Male</v>
      </c>
    </row>
    <row r="10" spans="2:9">
      <c r="B10" s="63" t="s">
        <v>43</v>
      </c>
      <c r="C10" s="64">
        <f>Inputs!$D$9</f>
        <v>30</v>
      </c>
    </row>
    <row r="11" spans="2:9">
      <c r="B11" s="63" t="s">
        <v>48</v>
      </c>
      <c r="C11" s="64">
        <f>Inputs!$D$10</f>
        <v>20</v>
      </c>
    </row>
    <row r="12" spans="2:9">
      <c r="B12" s="63" t="s">
        <v>36</v>
      </c>
      <c r="C12" s="65">
        <f>Inputs!$D$11</f>
        <v>100000</v>
      </c>
    </row>
    <row r="13" spans="2:9" ht="15.75" thickBot="1">
      <c r="B13" s="66" t="s">
        <v>9</v>
      </c>
      <c r="C13" s="67">
        <f>Inputs!$D$12</f>
        <v>0.05</v>
      </c>
    </row>
    <row r="15" spans="2:9" ht="15.75" thickBot="1"/>
    <row r="16" spans="2:9" ht="15.75" thickBot="1">
      <c r="B16" s="143" t="s">
        <v>29</v>
      </c>
      <c r="C16" s="145"/>
    </row>
    <row r="17" spans="2:3">
      <c r="B17" s="37" t="s">
        <v>37</v>
      </c>
      <c r="C17" s="40">
        <f>Calculations!$I$86</f>
        <v>6540.2964696366707</v>
      </c>
    </row>
    <row r="18" spans="2:3">
      <c r="B18" s="38" t="s">
        <v>38</v>
      </c>
      <c r="C18" s="41">
        <f>Premium_Calculations!F86</f>
        <v>12.903673587050653</v>
      </c>
    </row>
    <row r="19" spans="2:3" ht="15.75" thickBot="1">
      <c r="B19" s="39" t="s">
        <v>39</v>
      </c>
      <c r="C19" s="42">
        <f>$C$17/$C$18</f>
        <v>506.85538699615876</v>
      </c>
    </row>
    <row r="21" spans="2:3" ht="15.75" thickBot="1"/>
    <row r="22" spans="2:3" ht="15.75" thickBot="1">
      <c r="B22" s="146" t="s">
        <v>30</v>
      </c>
      <c r="C22" s="147"/>
    </row>
    <row r="23" spans="2:3">
      <c r="B23" s="37" t="s">
        <v>93</v>
      </c>
      <c r="C23" s="82">
        <f>Inputs!D13</f>
        <v>0.3</v>
      </c>
    </row>
    <row r="24" spans="2:3">
      <c r="B24" s="37" t="s">
        <v>94</v>
      </c>
      <c r="C24" s="55">
        <f>Inputs!D14</f>
        <v>0.06</v>
      </c>
    </row>
    <row r="25" spans="2:3">
      <c r="B25" s="37" t="s">
        <v>98</v>
      </c>
      <c r="C25" s="55">
        <f>Inputs!D15</f>
        <v>0.6</v>
      </c>
    </row>
    <row r="26" spans="2:3">
      <c r="B26" s="37" t="s">
        <v>99</v>
      </c>
      <c r="C26" s="83">
        <f>Inputs!D16</f>
        <v>0.05</v>
      </c>
    </row>
    <row r="27" spans="2:3" ht="15.75" thickBot="1">
      <c r="B27" s="84" t="s">
        <v>40</v>
      </c>
      <c r="C27" s="85">
        <f>Inputs!D17</f>
        <v>0</v>
      </c>
    </row>
    <row r="28" spans="2:3" ht="15.75" thickBot="1">
      <c r="B28" s="86" t="s">
        <v>41</v>
      </c>
      <c r="C28" s="87">
        <f ca="1">(Premium!C17 + SUM(Premium_Calculations!H86:L86)) / Premium!C18</f>
        <v>611.57019413422177</v>
      </c>
    </row>
    <row r="30" spans="2:3" ht="15.75" thickBot="1"/>
    <row r="31" spans="2:3" ht="15.75" thickBot="1">
      <c r="B31" s="46" t="s">
        <v>31</v>
      </c>
    </row>
    <row r="32" spans="2:3">
      <c r="B32" s="45" t="s">
        <v>32</v>
      </c>
    </row>
    <row r="33" spans="2:2">
      <c r="B33" s="43" t="s">
        <v>33</v>
      </c>
    </row>
    <row r="34" spans="2:2">
      <c r="B34" s="43" t="s">
        <v>34</v>
      </c>
    </row>
    <row r="35" spans="2:2" ht="15.75" thickBot="1">
      <c r="B35" s="44" t="s">
        <v>35</v>
      </c>
    </row>
  </sheetData>
  <mergeCells count="4">
    <mergeCell ref="B22:C22"/>
    <mergeCell ref="B3:C3"/>
    <mergeCell ref="B4:C4"/>
    <mergeCell ref="B16:C16"/>
  </mergeCells>
  <dataValidations count="1">
    <dataValidation type="decimal" allowBlank="1" showInputMessage="1" showErrorMessage="1" sqref="C23:C27" xr:uid="{19FFF682-FDAF-44D8-8BAF-E61F9295D867}">
      <formula1>0</formula1>
      <formula2>0.25</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558AB-BCEA-44FA-B7D0-ACC2C630D853}">
  <dimension ref="B2:U18"/>
  <sheetViews>
    <sheetView showGridLines="0" zoomScale="60" zoomScaleNormal="60" workbookViewId="0">
      <selection activeCell="AB18" sqref="AB18"/>
    </sheetView>
  </sheetViews>
  <sheetFormatPr defaultRowHeight="15"/>
  <cols>
    <col min="1" max="1" width="4.7109375" customWidth="1"/>
    <col min="3" max="3" width="13.140625" customWidth="1"/>
    <col min="4" max="4" width="15.140625" customWidth="1"/>
    <col min="6" max="6" width="8.85546875" customWidth="1"/>
    <col min="10" max="10" width="10.28515625" customWidth="1"/>
  </cols>
  <sheetData>
    <row r="2" spans="2:21" ht="26.25">
      <c r="B2" s="162" t="s">
        <v>88</v>
      </c>
      <c r="C2" s="162"/>
      <c r="D2" s="162"/>
      <c r="E2" s="162"/>
      <c r="F2" s="162"/>
      <c r="G2" s="162"/>
      <c r="H2" s="162"/>
      <c r="I2" s="162"/>
      <c r="J2" s="162"/>
      <c r="K2" s="162"/>
      <c r="L2" s="162"/>
      <c r="M2" s="162"/>
      <c r="N2" s="162"/>
      <c r="O2" s="162"/>
      <c r="P2" s="162"/>
      <c r="Q2" s="162"/>
      <c r="R2" s="162"/>
      <c r="S2" s="162"/>
      <c r="T2" s="162"/>
      <c r="U2" s="162"/>
    </row>
    <row r="3" spans="2:21" ht="15.75">
      <c r="B3" s="161" t="s">
        <v>89</v>
      </c>
      <c r="C3" s="161"/>
      <c r="D3" s="161"/>
      <c r="E3" s="161"/>
      <c r="F3" s="161"/>
      <c r="G3" s="161"/>
      <c r="H3" s="161"/>
      <c r="I3" s="161"/>
      <c r="J3" s="161"/>
      <c r="K3" s="161"/>
      <c r="L3" s="161"/>
      <c r="M3" s="161"/>
      <c r="N3" s="161"/>
      <c r="O3" s="161"/>
      <c r="P3" s="161"/>
      <c r="Q3" s="161"/>
      <c r="R3" s="161"/>
      <c r="S3" s="161"/>
      <c r="T3" s="161"/>
      <c r="U3" s="161"/>
    </row>
    <row r="4" spans="2:21" ht="15.75" thickBot="1"/>
    <row r="5" spans="2:21" ht="15.75" thickBot="1">
      <c r="B5" s="152" t="s">
        <v>28</v>
      </c>
      <c r="C5" s="163"/>
      <c r="D5" s="69"/>
      <c r="F5" s="152" t="s">
        <v>39</v>
      </c>
      <c r="G5" s="153"/>
      <c r="H5" s="1"/>
      <c r="I5" s="152" t="s">
        <v>41</v>
      </c>
      <c r="J5" s="153"/>
      <c r="L5" s="152" t="s">
        <v>90</v>
      </c>
      <c r="M5" s="153"/>
      <c r="O5" s="152" t="s">
        <v>53</v>
      </c>
      <c r="P5" s="153"/>
      <c r="R5" s="152" t="s">
        <v>91</v>
      </c>
      <c r="S5" s="153"/>
    </row>
    <row r="6" spans="2:21" ht="15.75" thickBot="1">
      <c r="B6" s="164" t="s">
        <v>1</v>
      </c>
      <c r="C6" s="165"/>
      <c r="D6" s="88" t="str">
        <f>Inputs!D5</f>
        <v>POL0001</v>
      </c>
      <c r="F6" s="156">
        <f>Premium!C19</f>
        <v>506.85538699615876</v>
      </c>
      <c r="G6" s="157"/>
      <c r="I6" s="158">
        <f ca="1">Premium!C28</f>
        <v>611.57019413422177</v>
      </c>
      <c r="J6" s="159"/>
      <c r="L6" s="156">
        <f>Premium!C17</f>
        <v>6540.2964696366707</v>
      </c>
      <c r="M6" s="157"/>
      <c r="O6" s="158">
        <f ca="1">Cashflow!E86</f>
        <v>8075.7807918204871</v>
      </c>
      <c r="P6" s="159"/>
      <c r="R6" s="156">
        <f ca="1">Premium_Calculations!I86</f>
        <v>436.79591799257855</v>
      </c>
      <c r="S6" s="157"/>
    </row>
    <row r="7" spans="2:21">
      <c r="B7" s="154" t="s">
        <v>3</v>
      </c>
      <c r="C7" s="155"/>
      <c r="D7" s="89" t="str">
        <f>Inputs!D6</f>
        <v>Amit Sharma</v>
      </c>
    </row>
    <row r="8" spans="2:21">
      <c r="B8" s="154" t="s">
        <v>5</v>
      </c>
      <c r="C8" s="155"/>
      <c r="D8" s="89">
        <f>Inputs!D7</f>
        <v>40</v>
      </c>
    </row>
    <row r="9" spans="2:21">
      <c r="B9" s="154" t="s">
        <v>6</v>
      </c>
      <c r="C9" s="155"/>
      <c r="D9" s="89" t="str">
        <f>Inputs!D8</f>
        <v>Male</v>
      </c>
    </row>
    <row r="10" spans="2:21">
      <c r="B10" s="154" t="s">
        <v>8</v>
      </c>
      <c r="C10" s="155"/>
      <c r="D10" s="89">
        <f>Inputs!D9</f>
        <v>30</v>
      </c>
    </row>
    <row r="11" spans="2:21">
      <c r="B11" s="154" t="s">
        <v>48</v>
      </c>
      <c r="C11" s="155"/>
      <c r="D11" s="89">
        <f>Inputs!D10</f>
        <v>20</v>
      </c>
    </row>
    <row r="12" spans="2:21">
      <c r="B12" s="154" t="s">
        <v>36</v>
      </c>
      <c r="C12" s="155"/>
      <c r="D12" s="90">
        <f>Inputs!D11</f>
        <v>100000</v>
      </c>
    </row>
    <row r="13" spans="2:21">
      <c r="B13" s="154" t="s">
        <v>9</v>
      </c>
      <c r="C13" s="155"/>
      <c r="D13" s="91">
        <f>Inputs!D12</f>
        <v>0.05</v>
      </c>
    </row>
    <row r="14" spans="2:21">
      <c r="B14" s="154" t="s">
        <v>93</v>
      </c>
      <c r="C14" s="160"/>
      <c r="D14" s="91">
        <f>Inputs!D13</f>
        <v>0.3</v>
      </c>
    </row>
    <row r="15" spans="2:21">
      <c r="B15" s="154" t="s">
        <v>94</v>
      </c>
      <c r="C15" s="155"/>
      <c r="D15" s="91">
        <f>Inputs!D14</f>
        <v>0.06</v>
      </c>
    </row>
    <row r="16" spans="2:21">
      <c r="B16" s="154" t="s">
        <v>98</v>
      </c>
      <c r="C16" s="160"/>
      <c r="D16" s="91">
        <f>Inputs!D15</f>
        <v>0.6</v>
      </c>
    </row>
    <row r="17" spans="2:4">
      <c r="B17" s="154" t="s">
        <v>99</v>
      </c>
      <c r="C17" s="160"/>
      <c r="D17" s="91">
        <f>Inputs!D16</f>
        <v>0.05</v>
      </c>
    </row>
    <row r="18" spans="2:4" ht="15.75" thickBot="1">
      <c r="B18" s="150" t="s">
        <v>40</v>
      </c>
      <c r="C18" s="151"/>
      <c r="D18" s="92">
        <f>Inputs!D17</f>
        <v>0</v>
      </c>
    </row>
  </sheetData>
  <mergeCells count="26">
    <mergeCell ref="B3:U3"/>
    <mergeCell ref="B2:U2"/>
    <mergeCell ref="B5:C5"/>
    <mergeCell ref="B6:C6"/>
    <mergeCell ref="B7:C7"/>
    <mergeCell ref="O5:P5"/>
    <mergeCell ref="R5:S5"/>
    <mergeCell ref="L6:M6"/>
    <mergeCell ref="O6:P6"/>
    <mergeCell ref="R6:S6"/>
    <mergeCell ref="L5:M5"/>
    <mergeCell ref="B18:C18"/>
    <mergeCell ref="I5:J5"/>
    <mergeCell ref="F5:G5"/>
    <mergeCell ref="B9:C9"/>
    <mergeCell ref="B8:C8"/>
    <mergeCell ref="B10:C10"/>
    <mergeCell ref="B11:C11"/>
    <mergeCell ref="B15:C15"/>
    <mergeCell ref="B12:C12"/>
    <mergeCell ref="B13:C13"/>
    <mergeCell ref="F6:G6"/>
    <mergeCell ref="I6:J6"/>
    <mergeCell ref="B16:C16"/>
    <mergeCell ref="B14:C14"/>
    <mergeCell ref="B17:C17"/>
  </mergeCells>
  <dataValidations count="5">
    <dataValidation type="custom" operator="lessThanOrEqual" allowBlank="1" showInputMessage="1" showErrorMessage="1" sqref="D11" xr:uid="{887F7FE5-A726-429D-9CEF-F2A8C442F830}">
      <formula1>AND(D11&gt;=1,D11&lt;=D10)</formula1>
    </dataValidation>
    <dataValidation type="custom" allowBlank="1" showInputMessage="1" showErrorMessage="1" sqref="D10" xr:uid="{C86AE5A3-6F9E-48CA-A0DE-C2CD6D10E67F}">
      <formula1>AND(D10&gt;=5,D10&lt;=50,D8+D10&lt;=100)</formula1>
    </dataValidation>
    <dataValidation type="whole" allowBlank="1" showInputMessage="1" showErrorMessage="1" sqref="D8" xr:uid="{C0940B09-031D-4BB4-83F0-5509BDB93DBC}">
      <formula1>18</formula1>
      <formula2>70</formula2>
    </dataValidation>
    <dataValidation type="whole" allowBlank="1" showInputMessage="1" showErrorMessage="1" sqref="D12" xr:uid="{64FC8117-BCCF-4036-96A2-95DDE641D588}">
      <formula1>0</formula1>
      <formula2>10000000</formula2>
    </dataValidation>
    <dataValidation type="decimal" allowBlank="1" showInputMessage="1" showErrorMessage="1" sqref="D13:D18" xr:uid="{8B56CD54-BB85-4BA5-8E6E-3C76743ED623}">
      <formula1>0</formula1>
      <formula2>0.2</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CC74-872B-4383-BB47-EA8394C794B4}">
  <dimension ref="B2:E15"/>
  <sheetViews>
    <sheetView showGridLines="0" tabSelected="1" zoomScale="90" zoomScaleNormal="90" workbookViewId="0">
      <selection activeCell="I5" sqref="I5"/>
    </sheetView>
  </sheetViews>
  <sheetFormatPr defaultRowHeight="15"/>
  <cols>
    <col min="1" max="1" width="6.42578125" customWidth="1"/>
    <col min="2" max="2" width="12.5703125" customWidth="1"/>
    <col min="3" max="3" width="14.28515625" customWidth="1"/>
    <col min="4" max="4" width="17" customWidth="1"/>
    <col min="5" max="5" width="13.85546875" bestFit="1" customWidth="1"/>
  </cols>
  <sheetData>
    <row r="2" spans="2:5" ht="15.75" thickBot="1"/>
    <row r="3" spans="2:5" ht="15.75" thickBot="1">
      <c r="B3" s="94" t="s">
        <v>81</v>
      </c>
      <c r="C3" s="95"/>
      <c r="D3" s="96"/>
      <c r="E3" s="93" t="s">
        <v>14</v>
      </c>
    </row>
    <row r="4" spans="2:5">
      <c r="B4" s="166" t="s">
        <v>82</v>
      </c>
      <c r="C4" s="167"/>
      <c r="D4" s="168"/>
      <c r="E4" s="169" t="str">
        <f>IF(AND(Inputs!D7&gt;=18,Inputs!D7&lt;=70),"PASS","FAIL")</f>
        <v>PASS</v>
      </c>
    </row>
    <row r="5" spans="2:5">
      <c r="B5" s="170" t="s">
        <v>87</v>
      </c>
      <c r="C5" s="171"/>
      <c r="D5" s="172"/>
      <c r="E5" s="173" t="str">
        <f>IF(AND(Inputs!D9&gt;=5,Inputs!D9&lt;=40),"PASS","FAIL")</f>
        <v>PASS</v>
      </c>
    </row>
    <row r="6" spans="2:5">
      <c r="B6" s="170" t="s">
        <v>83</v>
      </c>
      <c r="C6" s="171"/>
      <c r="D6" s="172"/>
      <c r="E6" s="173" t="str">
        <f>IF(Inputs!D10&lt;=Inputs!D9,"PASS","FAIL")</f>
        <v>PASS</v>
      </c>
    </row>
    <row r="7" spans="2:5">
      <c r="B7" s="170" t="s">
        <v>84</v>
      </c>
      <c r="C7" s="171"/>
      <c r="D7" s="172"/>
      <c r="E7" s="173" t="str">
        <f>IF(Inputs!D7+Inputs!D9&lt;=100,"PASS","FAIL")</f>
        <v>PASS</v>
      </c>
    </row>
    <row r="8" spans="2:5">
      <c r="B8" s="170" t="s">
        <v>85</v>
      </c>
      <c r="C8" s="171"/>
      <c r="D8" s="172"/>
      <c r="E8" s="173" t="str">
        <f>IF(Premium!C19&gt;0,"PASS","FAIL")</f>
        <v>PASS</v>
      </c>
    </row>
    <row r="9" spans="2:5">
      <c r="B9" s="170" t="s">
        <v>103</v>
      </c>
      <c r="C9" s="171"/>
      <c r="D9" s="172"/>
      <c r="E9" s="173" t="str">
        <f ca="1">IF(Premium!C28&gt;Premium!C19,"PASS","FAIL")</f>
        <v>PASS</v>
      </c>
    </row>
    <row r="10" spans="2:5">
      <c r="B10" s="174" t="s">
        <v>104</v>
      </c>
      <c r="C10" s="175"/>
      <c r="D10" s="176"/>
      <c r="E10" s="177" t="str">
        <f>IF(Inputs!D11&gt;0,"PASS","FAIL")</f>
        <v>PASS</v>
      </c>
    </row>
    <row r="11" spans="2:5">
      <c r="B11" s="174" t="s">
        <v>105</v>
      </c>
      <c r="C11" s="175"/>
      <c r="D11" s="176"/>
      <c r="E11" s="177" t="str">
        <f>IF(Premium!C24&gt;=0,"PASS","FAIL")</f>
        <v>PASS</v>
      </c>
    </row>
    <row r="12" spans="2:5">
      <c r="B12" s="174" t="s">
        <v>106</v>
      </c>
      <c r="C12" s="175"/>
      <c r="D12" s="176"/>
      <c r="E12" s="177" t="str">
        <f>IF(Premium!C27&gt;=0,"PASS","FAIL")</f>
        <v>PASS</v>
      </c>
    </row>
    <row r="13" spans="2:5">
      <c r="B13" s="174" t="s">
        <v>107</v>
      </c>
      <c r="C13" s="175"/>
      <c r="D13" s="176"/>
      <c r="E13" s="177" t="str">
        <f>IF(Premium!C17&gt;0,"PASS","FAIL")</f>
        <v>PASS</v>
      </c>
    </row>
    <row r="14" spans="2:5">
      <c r="B14" s="174" t="s">
        <v>108</v>
      </c>
      <c r="C14" s="175"/>
      <c r="D14" s="176"/>
      <c r="E14" s="177" t="str">
        <f>IF(Premium!C18&gt;0,"PASS","FAIL")</f>
        <v>PASS</v>
      </c>
    </row>
    <row r="15" spans="2:5" ht="18.75" customHeight="1" thickBot="1">
      <c r="B15" s="178" t="s">
        <v>86</v>
      </c>
      <c r="C15" s="179"/>
      <c r="D15" s="180"/>
      <c r="E15" s="181" t="str">
        <f ca="1">IF(COUNTIF(E4:E14,"FAIL")=0,"MODEL READY","MODEL ERROR")</f>
        <v>MODEL READY</v>
      </c>
    </row>
  </sheetData>
  <mergeCells count="13">
    <mergeCell ref="B9:D9"/>
    <mergeCell ref="B15:D15"/>
    <mergeCell ref="B3:D3"/>
    <mergeCell ref="B4:D4"/>
    <mergeCell ref="B5:D5"/>
    <mergeCell ref="B6:D6"/>
    <mergeCell ref="B7:D7"/>
    <mergeCell ref="B8:D8"/>
    <mergeCell ref="B10:D10"/>
    <mergeCell ref="B11:D11"/>
    <mergeCell ref="B12:D12"/>
    <mergeCell ref="B13:D13"/>
    <mergeCell ref="B14:D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7FE411-C434-414F-9370-3C90830CA5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Read_Me</vt:lpstr>
      <vt:lpstr>Inputs</vt:lpstr>
      <vt:lpstr>Mortality_Table</vt:lpstr>
      <vt:lpstr>Calculations</vt:lpstr>
      <vt:lpstr>Premium_Calculations</vt:lpstr>
      <vt:lpstr>Cashflow</vt:lpstr>
      <vt:lpstr>Premium</vt:lpstr>
      <vt:lpstr>Dashboard</vt:lpstr>
      <vt:lpstr>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2026-07-02T19:32:17Z</dcterms:created>
  <dcterms:modified xsi:type="dcterms:W3CDTF">2026-07-30T22:26:59Z</dcterms:modified>
</cp:coreProperties>
</file>