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Assignment\Assignment 6 - 10\"/>
    </mc:Choice>
  </mc:AlternateContent>
  <xr:revisionPtr revIDLastSave="0" documentId="13_ncr:1_{5B301AF1-2DBF-4A6A-9A45-18AF816AC673}" xr6:coauthVersionLast="47" xr6:coauthVersionMax="47" xr10:uidLastSave="{00000000-0000-0000-0000-000000000000}"/>
  <bookViews>
    <workbookView xWindow="-108" yWindow="-108" windowWidth="23256" windowHeight="12456" activeTab="1" xr2:uid="{9602F94F-2B54-4C6A-AE59-3667783AC68C}"/>
  </bookViews>
  <sheets>
    <sheet name="Assignment_Data7 to 10" sheetId="1" r:id="rId1"/>
    <sheet name="Answers" sheetId="2" r:id="rId2"/>
    <sheet name="pivot table" sheetId="3" r:id="rId3"/>
  </sheets>
  <definedNames>
    <definedName name="_xlchart.v1.0" hidden="1">Answers!$A$48:$A$51</definedName>
    <definedName name="_xlchart.v1.1" hidden="1">'Assignment_Data7 to 10'!$E$1</definedName>
    <definedName name="_xlchart.v1.2" hidden="1">'Assignment_Data7 to 10'!$E$2:$E$105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2" l="1"/>
  <c r="A97" i="2"/>
  <c r="C94" i="2"/>
  <c r="B94" i="2"/>
  <c r="A94" i="2"/>
  <c r="B85" i="2"/>
  <c r="B84" i="2"/>
  <c r="A50" i="2" l="1"/>
  <c r="A51" i="2" s="1"/>
  <c r="A49" i="2"/>
  <c r="A48" i="2"/>
  <c r="A45" i="2"/>
  <c r="C27" i="2"/>
  <c r="D27" i="2"/>
  <c r="E27" i="2"/>
  <c r="F27" i="2"/>
  <c r="B27" i="2"/>
  <c r="C26" i="2"/>
  <c r="D26" i="2"/>
  <c r="A70" i="2" s="1"/>
  <c r="E26" i="2"/>
  <c r="F26" i="2"/>
  <c r="B26" i="2"/>
  <c r="C25" i="2"/>
  <c r="D25" i="2"/>
  <c r="E25" i="2"/>
  <c r="F25" i="2"/>
  <c r="B25" i="2"/>
  <c r="C24" i="2"/>
  <c r="D24" i="2"/>
  <c r="E24" i="2"/>
  <c r="F24" i="2"/>
  <c r="B24" i="2"/>
  <c r="C23" i="2"/>
  <c r="D23" i="2"/>
  <c r="E23" i="2"/>
  <c r="F23" i="2"/>
  <c r="B23" i="2"/>
  <c r="C22" i="2"/>
  <c r="A67" i="2" s="1"/>
  <c r="D22" i="2"/>
  <c r="E22" i="2"/>
  <c r="F22" i="2"/>
  <c r="B22" i="2"/>
  <c r="C21" i="2"/>
  <c r="D21" i="2"/>
  <c r="E21" i="2"/>
  <c r="F21" i="2"/>
  <c r="B21" i="2"/>
  <c r="F20" i="2"/>
  <c r="D20" i="2"/>
  <c r="E20" i="2"/>
  <c r="C20" i="2"/>
  <c r="B20" i="2"/>
  <c r="A15" i="2" l="1"/>
  <c r="A12" i="2"/>
  <c r="A11" i="2"/>
  <c r="B8" i="2" l="1"/>
  <c r="B7" i="2"/>
  <c r="B3" i="2"/>
  <c r="B4" i="2"/>
  <c r="B2" i="2"/>
  <c r="F71" i="1" l="1"/>
  <c r="G71" i="1" s="1"/>
  <c r="F13" i="1"/>
  <c r="F25" i="1"/>
  <c r="F37" i="1"/>
  <c r="F49" i="1"/>
  <c r="G49" i="1" s="1"/>
  <c r="F61" i="1"/>
  <c r="F73" i="1"/>
  <c r="F85" i="1"/>
  <c r="F97" i="1"/>
  <c r="G97" i="1" s="1"/>
  <c r="F2" i="1"/>
  <c r="G2" i="1" s="1"/>
  <c r="F14" i="1"/>
  <c r="G14" i="1" s="1"/>
  <c r="F26" i="1"/>
  <c r="G26" i="1" s="1"/>
  <c r="F38" i="1"/>
  <c r="F50" i="1"/>
  <c r="F62" i="1"/>
  <c r="F74" i="1"/>
  <c r="F86" i="1"/>
  <c r="F98" i="1"/>
  <c r="F3" i="1"/>
  <c r="F15" i="1"/>
  <c r="F27" i="1"/>
  <c r="F39" i="1"/>
  <c r="G39" i="1" s="1"/>
  <c r="F51" i="1"/>
  <c r="G51" i="1" s="1"/>
  <c r="F63" i="1"/>
  <c r="G63" i="1" s="1"/>
  <c r="F75" i="1"/>
  <c r="G75" i="1" s="1"/>
  <c r="F87" i="1"/>
  <c r="F99" i="1"/>
  <c r="F21" i="1"/>
  <c r="F69" i="1"/>
  <c r="F93" i="1"/>
  <c r="F22" i="1"/>
  <c r="F46" i="1"/>
  <c r="G46" i="1" s="1"/>
  <c r="F70" i="1"/>
  <c r="G70" i="1" s="1"/>
  <c r="F94" i="1"/>
  <c r="F11" i="1"/>
  <c r="F23" i="1"/>
  <c r="G23" i="1" s="1"/>
  <c r="F35" i="1"/>
  <c r="G35" i="1" s="1"/>
  <c r="F47" i="1"/>
  <c r="F59" i="1"/>
  <c r="F83" i="1"/>
  <c r="F95" i="1"/>
  <c r="F12" i="1"/>
  <c r="G12" i="1" s="1"/>
  <c r="F24" i="1"/>
  <c r="G24" i="1" s="1"/>
  <c r="F36" i="1"/>
  <c r="G36" i="1" s="1"/>
  <c r="F48" i="1"/>
  <c r="G48" i="1" s="1"/>
  <c r="F60" i="1"/>
  <c r="G60" i="1" s="1"/>
  <c r="F72" i="1"/>
  <c r="G72" i="1" s="1"/>
  <c r="F84" i="1"/>
  <c r="G84" i="1" s="1"/>
  <c r="F96" i="1"/>
  <c r="G96" i="1" s="1"/>
  <c r="F4" i="1"/>
  <c r="F16" i="1"/>
  <c r="F28" i="1"/>
  <c r="F40" i="1"/>
  <c r="F52" i="1"/>
  <c r="F64" i="1"/>
  <c r="F76" i="1"/>
  <c r="F88" i="1"/>
  <c r="F100" i="1"/>
  <c r="F5" i="1"/>
  <c r="G5" i="1" s="1"/>
  <c r="F17" i="1"/>
  <c r="G17" i="1" s="1"/>
  <c r="F29" i="1"/>
  <c r="F41" i="1"/>
  <c r="F53" i="1"/>
  <c r="F65" i="1"/>
  <c r="F77" i="1"/>
  <c r="F89" i="1"/>
  <c r="F101" i="1"/>
  <c r="F6" i="1"/>
  <c r="G6" i="1" s="1"/>
  <c r="F18" i="1"/>
  <c r="G18" i="1" s="1"/>
  <c r="F30" i="1"/>
  <c r="G30" i="1" s="1"/>
  <c r="F42" i="1"/>
  <c r="G42" i="1" s="1"/>
  <c r="F54" i="1"/>
  <c r="G54" i="1" s="1"/>
  <c r="F66" i="1"/>
  <c r="F78" i="1"/>
  <c r="F90" i="1"/>
  <c r="F7" i="1"/>
  <c r="F19" i="1"/>
  <c r="G19" i="1" s="1"/>
  <c r="F31" i="1"/>
  <c r="G31" i="1" s="1"/>
  <c r="F43" i="1"/>
  <c r="G43" i="1" s="1"/>
  <c r="F55" i="1"/>
  <c r="G55" i="1" s="1"/>
  <c r="F67" i="1"/>
  <c r="G67" i="1" s="1"/>
  <c r="F79" i="1"/>
  <c r="G79" i="1" s="1"/>
  <c r="F91" i="1"/>
  <c r="G91" i="1" s="1"/>
  <c r="F8" i="1"/>
  <c r="G8" i="1" s="1"/>
  <c r="F20" i="1"/>
  <c r="F32" i="1"/>
  <c r="F44" i="1"/>
  <c r="F56" i="1"/>
  <c r="F68" i="1"/>
  <c r="G68" i="1" s="1"/>
  <c r="F80" i="1"/>
  <c r="F92" i="1"/>
  <c r="F9" i="1"/>
  <c r="F33" i="1"/>
  <c r="F45" i="1"/>
  <c r="G45" i="1" s="1"/>
  <c r="F57" i="1"/>
  <c r="G57" i="1" s="1"/>
  <c r="F81" i="1"/>
  <c r="G81" i="1" s="1"/>
  <c r="F10" i="1"/>
  <c r="G10" i="1" s="1"/>
  <c r="F34" i="1"/>
  <c r="F58" i="1"/>
  <c r="F82" i="1"/>
  <c r="G38" i="1"/>
  <c r="G50" i="1"/>
  <c r="G62" i="1"/>
  <c r="G74" i="1"/>
  <c r="G86" i="1"/>
  <c r="G98" i="1"/>
  <c r="G34" i="1"/>
  <c r="G37" i="1"/>
  <c r="G73" i="1"/>
  <c r="G3" i="1"/>
  <c r="G15" i="1"/>
  <c r="G27" i="1"/>
  <c r="G87" i="1"/>
  <c r="G99" i="1"/>
  <c r="G44" i="1"/>
  <c r="G58" i="1"/>
  <c r="G94" i="1"/>
  <c r="G59" i="1"/>
  <c r="G83" i="1"/>
  <c r="G13" i="1"/>
  <c r="G4" i="1"/>
  <c r="G16" i="1"/>
  <c r="G28" i="1"/>
  <c r="G40" i="1"/>
  <c r="G52" i="1"/>
  <c r="G64" i="1"/>
  <c r="G76" i="1"/>
  <c r="G88" i="1"/>
  <c r="G100" i="1"/>
  <c r="G29" i="1"/>
  <c r="G41" i="1"/>
  <c r="G53" i="1"/>
  <c r="G65" i="1"/>
  <c r="G77" i="1"/>
  <c r="G89" i="1"/>
  <c r="G101" i="1"/>
  <c r="G32" i="1"/>
  <c r="G80" i="1"/>
  <c r="G9" i="1"/>
  <c r="G33" i="1"/>
  <c r="G93" i="1"/>
  <c r="G47" i="1"/>
  <c r="G61" i="1"/>
  <c r="G22" i="1"/>
  <c r="G11" i="1"/>
  <c r="G95" i="1"/>
  <c r="G66" i="1"/>
  <c r="G78" i="1"/>
  <c r="G90" i="1"/>
  <c r="G7" i="1"/>
  <c r="G20" i="1"/>
  <c r="G56" i="1"/>
  <c r="G92" i="1"/>
  <c r="G21" i="1"/>
  <c r="G69" i="1"/>
  <c r="G82" i="1"/>
  <c r="G25" i="1"/>
  <c r="G85" i="1"/>
  <c r="G104" i="1" l="1"/>
  <c r="I104" i="1" s="1"/>
  <c r="I105" i="1" s="1"/>
</calcChain>
</file>

<file path=xl/sharedStrings.xml><?xml version="1.0" encoding="utf-8"?>
<sst xmlns="http://schemas.openxmlformats.org/spreadsheetml/2006/main" count="104" uniqueCount="70">
  <si>
    <t>Age</t>
  </si>
  <si>
    <t>Salary</t>
  </si>
  <si>
    <t>Purchase_Count</t>
  </si>
  <si>
    <t>Satisfaction_Score</t>
  </si>
  <si>
    <t>Visit_Frequency</t>
  </si>
  <si>
    <t>Calculate the mean, median, and mode of 'Age'.</t>
  </si>
  <si>
    <t>Mean -</t>
  </si>
  <si>
    <t>Median -</t>
  </si>
  <si>
    <t>Mode -</t>
  </si>
  <si>
    <t>Find the standard deviation and variance of 'Salary'.</t>
  </si>
  <si>
    <t>Variance</t>
  </si>
  <si>
    <t>Standard Deviation</t>
  </si>
  <si>
    <t>X-xbar</t>
  </si>
  <si>
    <t>X-xbar^2</t>
  </si>
  <si>
    <t>SSD</t>
  </si>
  <si>
    <t>SD</t>
  </si>
  <si>
    <t>Compute the skewness and kurtosis of 'Purchase_Count'.</t>
  </si>
  <si>
    <t>Skewness</t>
  </si>
  <si>
    <t>Kurtosis</t>
  </si>
  <si>
    <t>What is the correlation between 'Salary' and 'Satisfaction_Score'?</t>
  </si>
  <si>
    <t>Get the summary statistics (count, mean, std, min, 25%, 50%, 75%, max) for every column.</t>
  </si>
  <si>
    <t>Count</t>
  </si>
  <si>
    <t>Mean</t>
  </si>
  <si>
    <t>Std</t>
  </si>
  <si>
    <t>Min</t>
  </si>
  <si>
    <t>Max</t>
  </si>
  <si>
    <t>Columns</t>
  </si>
  <si>
    <t>Plot the histogram of 'Visit_Frequency' and comment on its skewness.</t>
  </si>
  <si>
    <t>Identify if 'Satisfaction_Score' has any outliers using standard deviation method.</t>
  </si>
  <si>
    <t>Q1</t>
  </si>
  <si>
    <t>Q2</t>
  </si>
  <si>
    <t>Q3</t>
  </si>
  <si>
    <t>IQR</t>
  </si>
  <si>
    <t>Calculate the coefficient of variation for 'Salary'.</t>
  </si>
  <si>
    <t>Find the interquartile range (IQR) for 'Purchase_Count'.</t>
  </si>
  <si>
    <t>Compute the Pearson correlation matrix for the entire dataset.</t>
  </si>
  <si>
    <t>Calculate the range (max - min) for the 'Age' and 'Salary' columns.</t>
  </si>
  <si>
    <t>Determine the percentile ranks for 'Purchase_Count' at 25%, 50%, and 75%.</t>
  </si>
  <si>
    <t>Find the covariance between 'Salary' and 'Visit_Frequency'.</t>
  </si>
  <si>
    <t>Check if 'Salary' follows a normal distribution using skewness and kurtosis values.</t>
  </si>
  <si>
    <t>Calculate the z-scores for 'Satisfaction_Score' and identify any data points beyond ±3.</t>
  </si>
  <si>
    <t>Create a pivot table to find the average Salary by each Category (group by Age groups if preferred).</t>
  </si>
  <si>
    <t>Row Labels</t>
  </si>
  <si>
    <t>Grand Total</t>
  </si>
  <si>
    <t>Average of Salary</t>
  </si>
  <si>
    <t>Use a pivot table to sum the Purchase_Count for each Satisfaction_Score value.</t>
  </si>
  <si>
    <t>Sum of Purchase_Count</t>
  </si>
  <si>
    <t>Build a pivot table to show the count of records per Visit_Frequency value.</t>
  </si>
  <si>
    <t>Count of Visit_Frequency</t>
  </si>
  <si>
    <t>Satisfaction Score</t>
  </si>
  <si>
    <t>18-27</t>
  </si>
  <si>
    <t>28-37</t>
  </si>
  <si>
    <t>38-47</t>
  </si>
  <si>
    <t>48-57</t>
  </si>
  <si>
    <t>58-67</t>
  </si>
  <si>
    <t>Generate a pivot table that shows the minimum, maximum, and average Salary per Age group (e.g., 18-25, 26-35, etc.).</t>
  </si>
  <si>
    <t>Min of Salary</t>
  </si>
  <si>
    <t>Max of Salary2</t>
  </si>
  <si>
    <t>Age Group</t>
  </si>
  <si>
    <t>Create a pivot table to display the total Purchase_Count for each distinct Salary range bucket (e.g., 25k-50k, 50k-75k, etc.).</t>
  </si>
  <si>
    <t>20000-39999</t>
  </si>
  <si>
    <t>40000-59999</t>
  </si>
  <si>
    <t>60000-79999</t>
  </si>
  <si>
    <t>80000-99999</t>
  </si>
  <si>
    <t>100000-119999</t>
  </si>
  <si>
    <t>120000-139999</t>
  </si>
  <si>
    <t>140000-159999</t>
  </si>
  <si>
    <t>160000-180000</t>
  </si>
  <si>
    <t>Salary Range</t>
  </si>
  <si>
    <t>Total Purchase_Count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</si>
</sst>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10" xfId="0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9" fontId="16" fillId="35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/>
    <xf numFmtId="0" fontId="16" fillId="34" borderId="10" xfId="0" applyFont="1" applyFill="1" applyBorder="1" applyAlignment="1">
      <alignment horizontal="center" vertical="center"/>
    </xf>
    <xf numFmtId="0" fontId="0" fillId="0" borderId="11" xfId="0" applyBorder="1"/>
    <xf numFmtId="0" fontId="18" fillId="0" borderId="12" xfId="0" applyFont="1" applyBorder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Skewness of Visit Frequency is </a:t>
            </a: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0.037765579</a:t>
            </a:r>
          </a:p>
        </cx:rich>
      </cx:tx>
    </cx:title>
    <cx:plotArea>
      <cx:plotAreaRegion>
        <cx:series layoutId="clusteredColumn" uniqueId="{A49E9AE2-99D9-44C6-A7F0-E818342FD8CD}">
          <cx:tx>
            <cx:txData>
              <cx:f>_xlchart.v1.1</cx:f>
              <cx:v>Visit_Frequency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745CC6A-0973-4CE7-9865-DA90A2ABD52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53340</xdr:rowOff>
    </xdr:from>
    <xdr:to>
      <xdr:col>4</xdr:col>
      <xdr:colOff>899160</xdr:colOff>
      <xdr:row>43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76F6FC-3ADD-4546-9F1B-520F55599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56860"/>
              <a:ext cx="4053840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47</xdr:row>
      <xdr:rowOff>64770</xdr:rowOff>
    </xdr:from>
    <xdr:to>
      <xdr:col>8</xdr:col>
      <xdr:colOff>312420</xdr:colOff>
      <xdr:row>62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900DEA-D4E6-74E3-94A5-31026BDD90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8380" y="8660130"/>
              <a:ext cx="4472940" cy="2739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Vadhavan" refreshedDate="45890.468903703702" createdVersion="8" refreshedVersion="8" minRefreshableVersion="3" recordCount="100" xr:uid="{23A47D4A-466E-4FC1-B6D6-355AE8C5ECF2}">
  <cacheSource type="worksheet">
    <worksheetSource name="Table1"/>
  </cacheSource>
  <cacheFields count="7">
    <cacheField name="Age" numFmtId="0">
      <sharedItems containsSemiMixedTypes="0" containsString="0" containsNumber="1" containsInteger="1" minValue="18" maxValue="64" count="43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</sharedItems>
      <fieldGroup base="0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alary" numFmtId="0">
      <sharedItems containsSemiMixedTypes="0" containsString="0" containsNumber="1" containsInteger="1" minValue="27693" maxValue="179736" count="100">
        <n v="158767"/>
        <n v="149375"/>
        <n v="161330"/>
        <n v="64504"/>
        <n v="38986"/>
        <n v="86858"/>
        <n v="154312"/>
        <n v="37666"/>
        <n v="63660"/>
        <n v="159633"/>
        <n v="51854"/>
        <n v="89505"/>
        <n v="129488"/>
        <n v="47662"/>
        <n v="33392"/>
        <n v="55535"/>
        <n v="138569"/>
        <n v="77256"/>
        <n v="114135"/>
        <n v="152478"/>
        <n v="60222"/>
        <n v="102373"/>
        <n v="148684"/>
        <n v="35965"/>
        <n v="49538"/>
        <n v="133066"/>
        <n v="138252"/>
        <n v="164182"/>
        <n v="123806"/>
        <n v="162982"/>
        <n v="135989"/>
        <n v="115982"/>
        <n v="146626"/>
        <n v="144176"/>
        <n v="156278"/>
        <n v="147409"/>
        <n v="48419"/>
        <n v="75015"/>
        <n v="147096"/>
        <n v="132059"/>
        <n v="135687"/>
        <n v="112939"/>
        <n v="174213"/>
        <n v="130878"/>
        <n v="87623"/>
        <n v="100450"/>
        <n v="118426"/>
        <n v="142845"/>
        <n v="178371"/>
        <n v="68585"/>
        <n v="134225"/>
        <n v="89044"/>
        <n v="134556"/>
        <n v="27693"/>
        <n v="120259"/>
        <n v="50939"/>
        <n v="177906"/>
        <n v="43047"/>
        <n v="51105"/>
        <n v="100766"/>
        <n v="171779"/>
        <n v="178048"/>
        <n v="69262"/>
        <n v="150117"/>
        <n v="48776"/>
        <n v="153376"/>
        <n v="162848"/>
        <n v="117787"/>
        <n v="152948"/>
        <n v="80016"/>
        <n v="165546"/>
        <n v="46959"/>
        <n v="161602"/>
        <n v="144101"/>
        <n v="28748"/>
        <n v="38545"/>
        <n v="152659"/>
        <n v="98530"/>
        <n v="118557"/>
        <n v="86087"/>
        <n v="93840"/>
        <n v="143451"/>
        <n v="76005"/>
        <n v="64353"/>
        <n v="77733"/>
        <n v="90318"/>
        <n v="179736"/>
        <n v="92172"/>
        <n v="118264"/>
        <n v="51736"/>
        <n v="137859"/>
        <n v="137181"/>
        <n v="156926"/>
        <n v="115084"/>
        <n v="32392"/>
        <n v="80680"/>
        <n v="75859"/>
        <n v="150657"/>
        <n v="95467"/>
        <n v="123506"/>
      </sharedItems>
      <fieldGroup base="1">
        <rangePr autoStart="0" autoEnd="0" startNum="20000" endNum="180000" groupInterval="20000"/>
        <groupItems count="10">
          <s v="&lt;20000"/>
          <s v="20000-39999"/>
          <s v="40000-59999"/>
          <s v="60000-79999"/>
          <s v="80000-99999"/>
          <s v="100000-119999"/>
          <s v="120000-139999"/>
          <s v="140000-159999"/>
          <s v="160000-180000"/>
          <s v="&gt;180000"/>
        </groupItems>
      </fieldGroup>
    </cacheField>
    <cacheField name="Purchase_Count" numFmtId="0">
      <sharedItems containsSemiMixedTypes="0" containsString="0" containsNumber="1" containsInteger="1" minValue="1" maxValue="49" count="41">
        <n v="17"/>
        <n v="38"/>
        <n v="24"/>
        <n v="5"/>
        <n v="34"/>
        <n v="6"/>
        <n v="22"/>
        <n v="11"/>
        <n v="48"/>
        <n v="16"/>
        <n v="33"/>
        <n v="9"/>
        <n v="29"/>
        <n v="3"/>
        <n v="20"/>
        <n v="36"/>
        <n v="19"/>
        <n v="26"/>
        <n v="32"/>
        <n v="7"/>
        <n v="41"/>
        <n v="40"/>
        <n v="39"/>
        <n v="18"/>
        <n v="1"/>
        <n v="28"/>
        <n v="25"/>
        <n v="23"/>
        <n v="31"/>
        <n v="30"/>
        <n v="42"/>
        <n v="35"/>
        <n v="49"/>
        <n v="2"/>
        <n v="12"/>
        <n v="37"/>
        <n v="8"/>
        <n v="46"/>
        <n v="4"/>
        <n v="14"/>
        <n v="21"/>
      </sharedItems>
    </cacheField>
    <cacheField name="Satisfaction_Score" numFmtId="0">
      <sharedItems containsSemiMixedTypes="0" containsString="0" containsNumber="1" minValue="1.0618264661154599" maxValue="4.9602154004170496" count="100">
        <n v="1.9759585735163301"/>
        <n v="4.8920422190097801"/>
        <n v="2.5723908986670398"/>
        <n v="4.5681862207084496"/>
        <n v="3.5245545039890498"/>
        <n v="4.1792452141665901"/>
        <n v="3.01054837242076"/>
        <n v="3.3076155385054302"/>
        <n v="2.9700707752754498"/>
        <n v="1.78097195119217"/>
        <n v="3.88980846104602"/>
        <n v="2.1230894497634201"/>
        <n v="1.09726386572581"/>
        <n v="3.5818891836286699"/>
        <n v="1.70844271762819"/>
        <n v="4.7618343374116501"/>
        <n v="4.8157143080103397"/>
        <n v="4.6594575608817896"/>
        <n v="2.48063480102177"/>
        <n v="1.0618264661154599"/>
        <n v="4.7132742503509002"/>
        <n v="2.7127365932692502"/>
        <n v="4.8666192761746698"/>
        <n v="4.8544799083570096"/>
        <n v="4.4120378218694398"/>
        <n v="2.1777955682783401"/>
        <n v="2.5403909144077002"/>
        <n v="4.4045466860674196"/>
        <n v="2.2676880206251102"/>
        <n v="1.67797098674437"/>
        <n v="3.2272050498334002"/>
        <n v="4.7446190966431203"/>
        <n v="3.7841191866998898"/>
        <n v="3.2802446803574599"/>
        <n v="1.3887059750830699"/>
        <n v="3.4600289067966701"/>
        <n v="4.9602154004170496"/>
        <n v="1.5603360609460899"/>
        <n v="3.0733186094549398"/>
        <n v="4.5094922877118204"/>
        <n v="3.9630744710168102"/>
        <n v="3.7880629639810701"/>
        <n v="3.80993633594843"/>
        <n v="2.4379646048790198"/>
        <n v="2.1743673770579699"/>
        <n v="4.23744462191405"/>
        <n v="4.2404535787167204"/>
        <n v="4.4682892743204103"/>
        <n v="4.6529622102258799"/>
        <n v="3.0453695954437499"/>
        <n v="3.00606517874879"/>
        <n v="4.1931807158670997"/>
        <n v="3.5998557231110602"/>
        <n v="3.8078675090308098"/>
        <n v="4.1831706777443998"/>
        <n v="4.5600213672702603"/>
        <n v="2.3519806274061401"/>
        <n v="2.5023318105597698"/>
        <n v="1.37592775936347"/>
        <n v="3.3131205639846901"/>
        <n v="1.1437690951869599"/>
        <n v="2.8623920725298402"/>
        <n v="3.1705785388302998"/>
        <n v="2.1461650085131301"/>
        <n v="3.3633330422760399"/>
        <n v="1.1220009997561899"/>
        <n v="1.1493927549968499"/>
        <n v="4.2904022426386303"/>
        <n v="2.4407625656450498"/>
        <n v="1.50824205060753"/>
        <n v="3.0889730402192099"/>
        <n v="4.0799742123944398"/>
        <n v="1.86328410998737"/>
        <n v="3.4915619032760001"/>
        <n v="1.34138985997507"/>
        <n v="1.2067268846744299"/>
        <n v="3.1254185262725902"/>
        <n v="3.1625404864404199"/>
        <n v="3.54971960599282"/>
        <n v="3.90436533489064"/>
        <n v="4.90340831785013"/>
        <n v="3.0652013932047799"/>
        <n v="2.2918258917649799"/>
        <n v="4.1807447790748098"/>
        <n v="2.0833290050482902"/>
        <n v="2.75588568282254"/>
        <n v="1.3138255253690601"/>
        <n v="1.10140297366183"/>
        <n v="4.8505936587117002"/>
        <n v="4.3439204820488202"/>
        <n v="3.7838968243747901"/>
        <n v="2.6358117776570702"/>
        <n v="1.69317728028338"/>
        <n v="1.62574817068434"/>
        <n v="2.00097159265838"/>
        <n v="3.1969066588244801"/>
        <n v="3.85838369080024"/>
        <n v="3.6407895068709202"/>
        <n v="2.11973558778377"/>
        <n v="4.8194611226527702"/>
      </sharedItems>
    </cacheField>
    <cacheField name="Visit_Frequency" numFmtId="0">
      <sharedItems containsSemiMixedTypes="0" containsString="0" containsNumber="1" containsInteger="1" minValue="1" maxValue="19" count="18">
        <n v="7"/>
        <n v="5"/>
        <n v="3"/>
        <n v="12"/>
        <n v="16"/>
        <n v="19"/>
        <n v="14"/>
        <n v="15"/>
        <n v="17"/>
        <n v="4"/>
        <n v="1"/>
        <n v="10"/>
        <n v="2"/>
        <n v="13"/>
        <n v="18"/>
        <n v="11"/>
        <n v="8"/>
        <n v="9"/>
      </sharedItems>
    </cacheField>
    <cacheField name="X-xbar" numFmtId="0">
      <sharedItems containsSemiMixedTypes="0" containsString="0" containsNumber="1" minValue="27652.12" maxValue="179695.12"/>
    </cacheField>
    <cacheField name="X-xbar^2" numFmtId="0">
      <sharedItems containsSemiMixedTypes="0" containsString="0" containsNumber="1" minValue="764639740.49439991" maxValue="32290336151.8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n v="158726.12"/>
    <n v="25193981170.254398"/>
  </r>
  <r>
    <x v="1"/>
    <x v="1"/>
    <x v="1"/>
    <x v="1"/>
    <x v="1"/>
    <n v="149334.12"/>
    <n v="22300679396.1744"/>
  </r>
  <r>
    <x v="2"/>
    <x v="2"/>
    <x v="2"/>
    <x v="2"/>
    <x v="2"/>
    <n v="161289.12"/>
    <n v="26014180230.374397"/>
  </r>
  <r>
    <x v="3"/>
    <x v="3"/>
    <x v="3"/>
    <x v="3"/>
    <x v="3"/>
    <n v="64463.12"/>
    <n v="4155493840.1344004"/>
  </r>
  <r>
    <x v="4"/>
    <x v="4"/>
    <x v="4"/>
    <x v="4"/>
    <x v="4"/>
    <n v="38945.120000000003"/>
    <n v="1516722371.8144002"/>
  </r>
  <r>
    <x v="5"/>
    <x v="5"/>
    <x v="5"/>
    <x v="5"/>
    <x v="5"/>
    <n v="86817.12"/>
    <n v="7537212325.0943995"/>
  </r>
  <r>
    <x v="0"/>
    <x v="6"/>
    <x v="6"/>
    <x v="6"/>
    <x v="1"/>
    <n v="154271.12"/>
    <n v="23799578466.054398"/>
  </r>
  <r>
    <x v="6"/>
    <x v="7"/>
    <x v="7"/>
    <x v="7"/>
    <x v="6"/>
    <n v="37625.120000000003"/>
    <n v="1415649655.0144002"/>
  </r>
  <r>
    <x v="7"/>
    <x v="8"/>
    <x v="8"/>
    <x v="8"/>
    <x v="1"/>
    <n v="63619.12"/>
    <n v="4047392429.5744004"/>
  </r>
  <r>
    <x v="8"/>
    <x v="9"/>
    <x v="9"/>
    <x v="9"/>
    <x v="7"/>
    <n v="159592.12"/>
    <n v="25469644766.094398"/>
  </r>
  <r>
    <x v="8"/>
    <x v="10"/>
    <x v="10"/>
    <x v="10"/>
    <x v="8"/>
    <n v="51813.120000000003"/>
    <n v="2684599404.1344004"/>
  </r>
  <r>
    <x v="9"/>
    <x v="11"/>
    <x v="11"/>
    <x v="11"/>
    <x v="6"/>
    <n v="89464.12"/>
    <n v="8003828767.3743992"/>
  </r>
  <r>
    <x v="10"/>
    <x v="12"/>
    <x v="5"/>
    <x v="12"/>
    <x v="1"/>
    <n v="129447.12"/>
    <n v="16756556876.294399"/>
  </r>
  <r>
    <x v="11"/>
    <x v="13"/>
    <x v="9"/>
    <x v="13"/>
    <x v="3"/>
    <n v="47621.120000000003"/>
    <n v="2267771070.0544004"/>
  </r>
  <r>
    <x v="9"/>
    <x v="14"/>
    <x v="12"/>
    <x v="14"/>
    <x v="4"/>
    <n v="33351.120000000003"/>
    <n v="1112297205.2544003"/>
  </r>
  <r>
    <x v="12"/>
    <x v="15"/>
    <x v="13"/>
    <x v="15"/>
    <x v="4"/>
    <n v="55494.12"/>
    <n v="3079597354.5744004"/>
  </r>
  <r>
    <x v="13"/>
    <x v="16"/>
    <x v="14"/>
    <x v="16"/>
    <x v="0"/>
    <n v="138528.12"/>
    <n v="19190040030.734398"/>
  </r>
  <r>
    <x v="14"/>
    <x v="17"/>
    <x v="15"/>
    <x v="17"/>
    <x v="9"/>
    <n v="77215.12"/>
    <n v="5962174756.614399"/>
  </r>
  <r>
    <x v="9"/>
    <x v="18"/>
    <x v="16"/>
    <x v="18"/>
    <x v="10"/>
    <n v="114094.12"/>
    <n v="13017468218.574398"/>
  </r>
  <r>
    <x v="15"/>
    <x v="19"/>
    <x v="17"/>
    <x v="19"/>
    <x v="1"/>
    <n v="152437.12"/>
    <n v="23237075553.894398"/>
  </r>
  <r>
    <x v="16"/>
    <x v="20"/>
    <x v="13"/>
    <x v="20"/>
    <x v="11"/>
    <n v="60181.120000000003"/>
    <n v="3621767204.4544005"/>
  </r>
  <r>
    <x v="17"/>
    <x v="21"/>
    <x v="16"/>
    <x v="21"/>
    <x v="1"/>
    <n v="102332.12"/>
    <n v="10471862783.694399"/>
  </r>
  <r>
    <x v="14"/>
    <x v="22"/>
    <x v="14"/>
    <x v="22"/>
    <x v="9"/>
    <n v="148643.12"/>
    <n v="22094777123.3344"/>
  </r>
  <r>
    <x v="5"/>
    <x v="23"/>
    <x v="18"/>
    <x v="23"/>
    <x v="12"/>
    <n v="35924.120000000003"/>
    <n v="1290542397.7744002"/>
  </r>
  <r>
    <x v="18"/>
    <x v="24"/>
    <x v="19"/>
    <x v="24"/>
    <x v="11"/>
    <n v="49497.120000000003"/>
    <n v="2449964888.2944002"/>
  </r>
  <r>
    <x v="19"/>
    <x v="25"/>
    <x v="20"/>
    <x v="25"/>
    <x v="5"/>
    <n v="133025.12"/>
    <n v="17695682551.0144"/>
  </r>
  <r>
    <x v="13"/>
    <x v="26"/>
    <x v="10"/>
    <x v="26"/>
    <x v="10"/>
    <n v="138211.12"/>
    <n v="19102313691.6544"/>
  </r>
  <r>
    <x v="15"/>
    <x v="27"/>
    <x v="21"/>
    <x v="27"/>
    <x v="1"/>
    <n v="164141.12"/>
    <n v="26942307274.854397"/>
  </r>
  <r>
    <x v="20"/>
    <x v="28"/>
    <x v="22"/>
    <x v="28"/>
    <x v="13"/>
    <n v="123765.12"/>
    <n v="15317804928.614399"/>
  </r>
  <r>
    <x v="21"/>
    <x v="29"/>
    <x v="23"/>
    <x v="29"/>
    <x v="9"/>
    <n v="162941.12"/>
    <n v="26549808586.854397"/>
  </r>
  <r>
    <x v="22"/>
    <x v="30"/>
    <x v="21"/>
    <x v="30"/>
    <x v="4"/>
    <n v="135948.12"/>
    <n v="18481891331.534397"/>
  </r>
  <r>
    <x v="23"/>
    <x v="31"/>
    <x v="24"/>
    <x v="31"/>
    <x v="4"/>
    <n v="115941.12"/>
    <n v="13442343306.854399"/>
  </r>
  <r>
    <x v="24"/>
    <x v="32"/>
    <x v="7"/>
    <x v="32"/>
    <x v="12"/>
    <n v="146585.12"/>
    <n v="21487197405.414398"/>
  </r>
  <r>
    <x v="2"/>
    <x v="33"/>
    <x v="25"/>
    <x v="33"/>
    <x v="8"/>
    <n v="144135.12"/>
    <n v="20774932817.414398"/>
  </r>
  <r>
    <x v="25"/>
    <x v="34"/>
    <x v="26"/>
    <x v="34"/>
    <x v="3"/>
    <n v="156237.12"/>
    <n v="24410037665.894398"/>
  </r>
  <r>
    <x v="15"/>
    <x v="35"/>
    <x v="27"/>
    <x v="35"/>
    <x v="14"/>
    <n v="147368.12"/>
    <n v="21717362792.3344"/>
  </r>
  <r>
    <x v="12"/>
    <x v="36"/>
    <x v="28"/>
    <x v="36"/>
    <x v="2"/>
    <n v="48378.12"/>
    <n v="2340442494.7344003"/>
  </r>
  <r>
    <x v="26"/>
    <x v="37"/>
    <x v="29"/>
    <x v="37"/>
    <x v="10"/>
    <n v="74974.12"/>
    <n v="5621118669.7743998"/>
  </r>
  <r>
    <x v="27"/>
    <x v="38"/>
    <x v="30"/>
    <x v="38"/>
    <x v="10"/>
    <n v="147055.12"/>
    <n v="21625208318.214397"/>
  </r>
  <r>
    <x v="5"/>
    <x v="39"/>
    <x v="31"/>
    <x v="39"/>
    <x v="5"/>
    <n v="132018.12"/>
    <n v="17428784008.3344"/>
  </r>
  <r>
    <x v="28"/>
    <x v="40"/>
    <x v="19"/>
    <x v="40"/>
    <x v="15"/>
    <n v="135646.12"/>
    <n v="18399869871.054398"/>
  </r>
  <r>
    <x v="0"/>
    <x v="41"/>
    <x v="9"/>
    <x v="41"/>
    <x v="1"/>
    <n v="112898.12"/>
    <n v="12745985499.534399"/>
  </r>
  <r>
    <x v="29"/>
    <x v="42"/>
    <x v="17"/>
    <x v="42"/>
    <x v="3"/>
    <n v="174172.12"/>
    <n v="30335927385.294399"/>
  </r>
  <r>
    <x v="30"/>
    <x v="43"/>
    <x v="8"/>
    <x v="43"/>
    <x v="2"/>
    <n v="130837.12"/>
    <n v="17118351969.8944"/>
  </r>
  <r>
    <x v="20"/>
    <x v="44"/>
    <x v="32"/>
    <x v="44"/>
    <x v="10"/>
    <n v="87582.12"/>
    <n v="7670627743.6943989"/>
  </r>
  <r>
    <x v="31"/>
    <x v="45"/>
    <x v="33"/>
    <x v="45"/>
    <x v="10"/>
    <n v="100409.12"/>
    <n v="10081991379.174398"/>
  </r>
  <r>
    <x v="28"/>
    <x v="46"/>
    <x v="24"/>
    <x v="46"/>
    <x v="16"/>
    <n v="118385.12"/>
    <n v="14015036637.414398"/>
  </r>
  <r>
    <x v="32"/>
    <x v="47"/>
    <x v="8"/>
    <x v="47"/>
    <x v="11"/>
    <n v="142804.12"/>
    <n v="20393016688.9744"/>
  </r>
  <r>
    <x v="14"/>
    <x v="48"/>
    <x v="34"/>
    <x v="48"/>
    <x v="15"/>
    <n v="178330.12"/>
    <n v="31801631699.214397"/>
  </r>
  <r>
    <x v="33"/>
    <x v="49"/>
    <x v="3"/>
    <x v="49"/>
    <x v="3"/>
    <n v="68544.12"/>
    <n v="4698296386.574399"/>
  </r>
  <r>
    <x v="23"/>
    <x v="50"/>
    <x v="35"/>
    <x v="50"/>
    <x v="13"/>
    <n v="134184.12"/>
    <n v="18005378060.1744"/>
  </r>
  <r>
    <x v="25"/>
    <x v="51"/>
    <x v="18"/>
    <x v="51"/>
    <x v="3"/>
    <n v="89003.12"/>
    <n v="7921555369.7343988"/>
  </r>
  <r>
    <x v="27"/>
    <x v="52"/>
    <x v="11"/>
    <x v="52"/>
    <x v="6"/>
    <n v="134515.12"/>
    <n v="18094317508.614399"/>
  </r>
  <r>
    <x v="15"/>
    <x v="53"/>
    <x v="20"/>
    <x v="53"/>
    <x v="12"/>
    <n v="27652.12"/>
    <n v="764639740.49439991"/>
  </r>
  <r>
    <x v="4"/>
    <x v="54"/>
    <x v="31"/>
    <x v="54"/>
    <x v="5"/>
    <n v="120218.12"/>
    <n v="14452396376.334398"/>
  </r>
  <r>
    <x v="25"/>
    <x v="55"/>
    <x v="16"/>
    <x v="55"/>
    <x v="14"/>
    <n v="50898.12"/>
    <n v="2590618619.5344005"/>
  </r>
  <r>
    <x v="34"/>
    <x v="56"/>
    <x v="8"/>
    <x v="56"/>
    <x v="2"/>
    <n v="177865.12"/>
    <n v="31636000912.614399"/>
  </r>
  <r>
    <x v="31"/>
    <x v="57"/>
    <x v="9"/>
    <x v="57"/>
    <x v="8"/>
    <n v="43006.12"/>
    <n v="1849526357.4544003"/>
  </r>
  <r>
    <x v="35"/>
    <x v="58"/>
    <x v="13"/>
    <x v="58"/>
    <x v="16"/>
    <n v="51064.12"/>
    <n v="2607544351.3744001"/>
  </r>
  <r>
    <x v="10"/>
    <x v="59"/>
    <x v="14"/>
    <x v="59"/>
    <x v="11"/>
    <n v="100725.12"/>
    <n v="10145549799.014399"/>
  </r>
  <r>
    <x v="11"/>
    <x v="60"/>
    <x v="2"/>
    <x v="60"/>
    <x v="12"/>
    <n v="171738.12"/>
    <n v="29493981861.134399"/>
  </r>
  <r>
    <x v="30"/>
    <x v="61"/>
    <x v="10"/>
    <x v="61"/>
    <x v="5"/>
    <n v="178007.12"/>
    <n v="31686534770.694397"/>
  </r>
  <r>
    <x v="14"/>
    <x v="62"/>
    <x v="2"/>
    <x v="62"/>
    <x v="17"/>
    <n v="69221.119999999995"/>
    <n v="4791563454.0543995"/>
  </r>
  <r>
    <x v="36"/>
    <x v="63"/>
    <x v="7"/>
    <x v="63"/>
    <x v="0"/>
    <n v="150076.12"/>
    <n v="22522841794.254398"/>
  </r>
  <r>
    <x v="22"/>
    <x v="64"/>
    <x v="32"/>
    <x v="64"/>
    <x v="9"/>
    <n v="48735.12"/>
    <n v="2375111921.4144001"/>
  </r>
  <r>
    <x v="30"/>
    <x v="65"/>
    <x v="36"/>
    <x v="65"/>
    <x v="14"/>
    <n v="153335.12"/>
    <n v="23511659025.414398"/>
  </r>
  <r>
    <x v="1"/>
    <x v="66"/>
    <x v="15"/>
    <x v="66"/>
    <x v="13"/>
    <n v="162807.12"/>
    <n v="26506158322.694397"/>
  </r>
  <r>
    <x v="29"/>
    <x v="67"/>
    <x v="1"/>
    <x v="67"/>
    <x v="15"/>
    <n v="117746.12"/>
    <n v="13864148775.054399"/>
  </r>
  <r>
    <x v="32"/>
    <x v="68"/>
    <x v="21"/>
    <x v="68"/>
    <x v="9"/>
    <n v="152907.12"/>
    <n v="23380587346.694397"/>
  </r>
  <r>
    <x v="15"/>
    <x v="69"/>
    <x v="14"/>
    <x v="69"/>
    <x v="9"/>
    <n v="79975.12"/>
    <n v="6396019819.0143995"/>
  </r>
  <r>
    <x v="37"/>
    <x v="70"/>
    <x v="31"/>
    <x v="70"/>
    <x v="11"/>
    <n v="165505.12"/>
    <n v="27391944746.214397"/>
  </r>
  <r>
    <x v="38"/>
    <x v="71"/>
    <x v="8"/>
    <x v="71"/>
    <x v="1"/>
    <n v="46918.12"/>
    <n v="2201309984.3344002"/>
  </r>
  <r>
    <x v="10"/>
    <x v="72"/>
    <x v="26"/>
    <x v="72"/>
    <x v="17"/>
    <n v="161561.12"/>
    <n v="26101995495.6544"/>
  </r>
  <r>
    <x v="31"/>
    <x v="73"/>
    <x v="31"/>
    <x v="73"/>
    <x v="2"/>
    <n v="144060.12"/>
    <n v="20753318174.414398"/>
  </r>
  <r>
    <x v="39"/>
    <x v="74"/>
    <x v="26"/>
    <x v="74"/>
    <x v="8"/>
    <n v="28707.119999999999"/>
    <n v="824098738.69439995"/>
  </r>
  <r>
    <x v="2"/>
    <x v="75"/>
    <x v="12"/>
    <x v="75"/>
    <x v="2"/>
    <n v="38504.120000000003"/>
    <n v="1482567256.9744003"/>
  </r>
  <r>
    <x v="4"/>
    <x v="76"/>
    <x v="23"/>
    <x v="76"/>
    <x v="4"/>
    <n v="152618.12"/>
    <n v="23292290552.3344"/>
  </r>
  <r>
    <x v="31"/>
    <x v="77"/>
    <x v="37"/>
    <x v="77"/>
    <x v="9"/>
    <n v="98489.12"/>
    <n v="9700106758.3743992"/>
  </r>
  <r>
    <x v="7"/>
    <x v="78"/>
    <x v="23"/>
    <x v="78"/>
    <x v="14"/>
    <n v="118516.12"/>
    <n v="14046070699.854399"/>
  </r>
  <r>
    <x v="11"/>
    <x v="79"/>
    <x v="33"/>
    <x v="79"/>
    <x v="8"/>
    <n v="86046.12"/>
    <n v="7403934767.0543995"/>
  </r>
  <r>
    <x v="5"/>
    <x v="80"/>
    <x v="31"/>
    <x v="80"/>
    <x v="0"/>
    <n v="93799.12"/>
    <n v="8798274912.7743988"/>
  </r>
  <r>
    <x v="24"/>
    <x v="81"/>
    <x v="9"/>
    <x v="81"/>
    <x v="1"/>
    <n v="143410.12"/>
    <n v="20566462518.414398"/>
  </r>
  <r>
    <x v="40"/>
    <x v="82"/>
    <x v="20"/>
    <x v="82"/>
    <x v="3"/>
    <n v="75964.12"/>
    <n v="5770547527.3743992"/>
  </r>
  <r>
    <x v="29"/>
    <x v="83"/>
    <x v="15"/>
    <x v="83"/>
    <x v="8"/>
    <n v="64312.12"/>
    <n v="4136048778.8944001"/>
  </r>
  <r>
    <x v="25"/>
    <x v="84"/>
    <x v="10"/>
    <x v="84"/>
    <x v="13"/>
    <n v="77692.12"/>
    <n v="6036065510.0943995"/>
  </r>
  <r>
    <x v="9"/>
    <x v="85"/>
    <x v="38"/>
    <x v="85"/>
    <x v="2"/>
    <n v="90277.119999999995"/>
    <n v="8149958395.4943991"/>
  </r>
  <r>
    <x v="32"/>
    <x v="86"/>
    <x v="10"/>
    <x v="86"/>
    <x v="17"/>
    <n v="179695.12"/>
    <n v="32290336151.8144"/>
  </r>
  <r>
    <x v="20"/>
    <x v="87"/>
    <x v="39"/>
    <x v="87"/>
    <x v="8"/>
    <n v="92131.12"/>
    <n v="8488143272.4543991"/>
  </r>
  <r>
    <x v="40"/>
    <x v="88"/>
    <x v="40"/>
    <x v="88"/>
    <x v="8"/>
    <n v="118223.12"/>
    <n v="13976706102.534399"/>
  </r>
  <r>
    <x v="41"/>
    <x v="89"/>
    <x v="8"/>
    <x v="89"/>
    <x v="4"/>
    <n v="51695.12"/>
    <n v="2672385431.8144002"/>
  </r>
  <r>
    <x v="1"/>
    <x v="90"/>
    <x v="14"/>
    <x v="90"/>
    <x v="13"/>
    <n v="137818.12"/>
    <n v="18993834200.3344"/>
  </r>
  <r>
    <x v="2"/>
    <x v="91"/>
    <x v="36"/>
    <x v="91"/>
    <x v="5"/>
    <n v="137140.12"/>
    <n v="18807412513.614399"/>
  </r>
  <r>
    <x v="40"/>
    <x v="92"/>
    <x v="19"/>
    <x v="92"/>
    <x v="8"/>
    <n v="156885.12"/>
    <n v="24612940877.414398"/>
  </r>
  <r>
    <x v="42"/>
    <x v="93"/>
    <x v="13"/>
    <x v="93"/>
    <x v="9"/>
    <n v="115043.12"/>
    <n v="13234919459.334398"/>
  </r>
  <r>
    <x v="20"/>
    <x v="94"/>
    <x v="0"/>
    <x v="94"/>
    <x v="3"/>
    <n v="32351.119999999999"/>
    <n v="1046594965.2543999"/>
  </r>
  <r>
    <x v="27"/>
    <x v="95"/>
    <x v="10"/>
    <x v="95"/>
    <x v="17"/>
    <n v="80639.12"/>
    <n v="6502667674.3743992"/>
  </r>
  <r>
    <x v="28"/>
    <x v="96"/>
    <x v="8"/>
    <x v="96"/>
    <x v="5"/>
    <n v="75818.12"/>
    <n v="5748387320.3343992"/>
  </r>
  <r>
    <x v="9"/>
    <x v="97"/>
    <x v="34"/>
    <x v="97"/>
    <x v="3"/>
    <n v="150616.12"/>
    <n v="22685215603.854397"/>
  </r>
  <r>
    <x v="42"/>
    <x v="98"/>
    <x v="6"/>
    <x v="98"/>
    <x v="17"/>
    <n v="95426.12"/>
    <n v="9106144378.2543983"/>
  </r>
  <r>
    <x v="15"/>
    <x v="99"/>
    <x v="6"/>
    <x v="99"/>
    <x v="0"/>
    <n v="123465.12"/>
    <n v="15243635856.614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99264-0C99-4D45-A51E-154A7AA337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0:B139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axis="axisRow" dataField="1"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Visit_Frequency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15F4C-BA49-4BD5-BB5A-A99F07DF183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tisfaction Score">
  <location ref="A14:B115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axis="axisRow"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  <pivotField showAll="0"/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Purchase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F021E-7A4E-404A-99FC-CEEE458B5B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3:B9" firstHeaderRow="1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E51EC-BBDA-478E-BDD6-A67CFC95958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ary Range">
  <location ref="A154:B163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urchase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9603E-6C4D-4AA7-BAF8-13477B875F5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A143:D149" firstHeaderRow="0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ary" fld="1" subtotal="average" baseField="0" baseItem="0"/>
    <dataField name="Min of Salary" fld="1" subtotal="min" baseField="0" baseItem="3"/>
    <dataField name="Max of Salary2" fld="1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1E83-6801-4DED-929B-8E733D213828}" name="Table1" displayName="Table1" ref="A1:G101" totalsRowShown="0">
  <autoFilter ref="A1:G101" xr:uid="{2E701E83-6801-4DED-929B-8E733D213828}"/>
  <tableColumns count="7">
    <tableColumn id="1" xr3:uid="{E4471ABD-D151-40BD-A0E8-EE69BA96641C}" name="Age"/>
    <tableColumn id="2" xr3:uid="{785F0439-E6E1-4D24-84F6-678E289220D9}" name="Salary"/>
    <tableColumn id="3" xr3:uid="{D9A071C0-686D-4BFF-94AF-888686FDE2A8}" name="Purchase_Count"/>
    <tableColumn id="4" xr3:uid="{9BA9796A-9E64-4EB5-AE62-450B2E5B4A02}" name="Satisfaction_Score" dataDxfId="2"/>
    <tableColumn id="5" xr3:uid="{A3258C40-088F-49C7-989C-5B330CD479EC}" name="Visit_Frequency"/>
    <tableColumn id="6" xr3:uid="{219A6814-8C74-4C88-A6B6-E4E6851558AB}" name="X-xbar" dataDxfId="1">
      <calculatedColumnFormula>(Table1[[#This Row],[Salary]]-Answers!$B$2)</calculatedColumnFormula>
    </tableColumn>
    <tableColumn id="7" xr3:uid="{1F4C5C0F-E688-41E8-9CA7-AAA3CF5618FF}" name="X-xbar^2" dataDxfId="0">
      <calculatedColumnFormula>(Table1[[#This Row],[X-xbar]]^2)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5DC2-5DBC-4B1D-8B91-23FE27DAF70B}">
  <dimension ref="A1:J105"/>
  <sheetViews>
    <sheetView workbookViewId="0">
      <selection activeCell="I7" sqref="I7"/>
    </sheetView>
  </sheetViews>
  <sheetFormatPr defaultRowHeight="14.4" x14ac:dyDescent="0.3"/>
  <cols>
    <col min="3" max="3" width="16.6640625" customWidth="1"/>
    <col min="4" max="4" width="18.33203125" customWidth="1"/>
    <col min="5" max="5" width="16.21875" customWidth="1"/>
    <col min="7" max="7" width="19.77734375" customWidth="1"/>
    <col min="9" max="9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3">
      <c r="A2">
        <v>56</v>
      </c>
      <c r="B2">
        <v>158767</v>
      </c>
      <c r="C2">
        <v>17</v>
      </c>
      <c r="D2">
        <v>1.9759585735163301</v>
      </c>
      <c r="E2">
        <v>7</v>
      </c>
      <c r="F2">
        <f>(Table1[[#This Row],[Salary]]-Answers!$B$2)</f>
        <v>158726.12</v>
      </c>
      <c r="G2">
        <f>(Table1[[#This Row],[X-xbar]]^2)</f>
        <v>25193981170.254398</v>
      </c>
    </row>
    <row r="3" spans="1:7" x14ac:dyDescent="0.3">
      <c r="A3">
        <v>46</v>
      </c>
      <c r="B3">
        <v>149375</v>
      </c>
      <c r="C3">
        <v>38</v>
      </c>
      <c r="D3">
        <v>4.8920422190097801</v>
      </c>
      <c r="E3">
        <v>5</v>
      </c>
      <c r="F3">
        <f>(Table1[[#This Row],[Salary]]-Answers!$B$2)</f>
        <v>149334.12</v>
      </c>
      <c r="G3">
        <f>(Table1[[#This Row],[X-xbar]]^2)</f>
        <v>22300679396.1744</v>
      </c>
    </row>
    <row r="4" spans="1:7" x14ac:dyDescent="0.3">
      <c r="A4">
        <v>32</v>
      </c>
      <c r="B4">
        <v>161330</v>
      </c>
      <c r="C4">
        <v>24</v>
      </c>
      <c r="D4">
        <v>2.5723908986670398</v>
      </c>
      <c r="E4">
        <v>3</v>
      </c>
      <c r="F4">
        <f>(Table1[[#This Row],[Salary]]-Answers!$B$2)</f>
        <v>161289.12</v>
      </c>
      <c r="G4">
        <f>(Table1[[#This Row],[X-xbar]]^2)</f>
        <v>26014180230.374397</v>
      </c>
    </row>
    <row r="5" spans="1:7" x14ac:dyDescent="0.3">
      <c r="A5">
        <v>60</v>
      </c>
      <c r="B5">
        <v>64504</v>
      </c>
      <c r="C5">
        <v>5</v>
      </c>
      <c r="D5">
        <v>4.5681862207084496</v>
      </c>
      <c r="E5">
        <v>12</v>
      </c>
      <c r="F5">
        <f>(Table1[[#This Row],[Salary]]-Answers!$B$2)</f>
        <v>64463.12</v>
      </c>
      <c r="G5">
        <f>(Table1[[#This Row],[X-xbar]]^2)</f>
        <v>4155493840.1344004</v>
      </c>
    </row>
    <row r="6" spans="1:7" x14ac:dyDescent="0.3">
      <c r="A6">
        <v>25</v>
      </c>
      <c r="B6">
        <v>38986</v>
      </c>
      <c r="C6">
        <v>34</v>
      </c>
      <c r="D6">
        <v>3.5245545039890498</v>
      </c>
      <c r="E6">
        <v>16</v>
      </c>
      <c r="F6">
        <f>(Table1[[#This Row],[Salary]]-Answers!$B$2)</f>
        <v>38945.120000000003</v>
      </c>
      <c r="G6">
        <f>(Table1[[#This Row],[X-xbar]]^2)</f>
        <v>1516722371.8144002</v>
      </c>
    </row>
    <row r="7" spans="1:7" x14ac:dyDescent="0.3">
      <c r="A7">
        <v>38</v>
      </c>
      <c r="B7">
        <v>86858</v>
      </c>
      <c r="C7">
        <v>6</v>
      </c>
      <c r="D7">
        <v>4.1792452141665901</v>
      </c>
      <c r="E7">
        <v>19</v>
      </c>
      <c r="F7">
        <f>(Table1[[#This Row],[Salary]]-Answers!$B$2)</f>
        <v>86817.12</v>
      </c>
      <c r="G7">
        <f>(Table1[[#This Row],[X-xbar]]^2)</f>
        <v>7537212325.0943995</v>
      </c>
    </row>
    <row r="8" spans="1:7" x14ac:dyDescent="0.3">
      <c r="A8">
        <v>56</v>
      </c>
      <c r="B8">
        <v>154312</v>
      </c>
      <c r="C8">
        <v>22</v>
      </c>
      <c r="D8">
        <v>3.01054837242076</v>
      </c>
      <c r="E8">
        <v>5</v>
      </c>
      <c r="F8">
        <f>(Table1[[#This Row],[Salary]]-Answers!$B$2)</f>
        <v>154271.12</v>
      </c>
      <c r="G8">
        <f>(Table1[[#This Row],[X-xbar]]^2)</f>
        <v>23799578466.054398</v>
      </c>
    </row>
    <row r="9" spans="1:7" x14ac:dyDescent="0.3">
      <c r="A9">
        <v>36</v>
      </c>
      <c r="B9">
        <v>37666</v>
      </c>
      <c r="C9">
        <v>11</v>
      </c>
      <c r="D9">
        <v>3.3076155385054302</v>
      </c>
      <c r="E9">
        <v>14</v>
      </c>
      <c r="F9">
        <f>(Table1[[#This Row],[Salary]]-Answers!$B$2)</f>
        <v>37625.120000000003</v>
      </c>
      <c r="G9">
        <f>(Table1[[#This Row],[X-xbar]]^2)</f>
        <v>1415649655.0144002</v>
      </c>
    </row>
    <row r="10" spans="1:7" x14ac:dyDescent="0.3">
      <c r="A10">
        <v>40</v>
      </c>
      <c r="B10">
        <v>63660</v>
      </c>
      <c r="C10">
        <v>48</v>
      </c>
      <c r="D10">
        <v>2.9700707752754498</v>
      </c>
      <c r="E10">
        <v>5</v>
      </c>
      <c r="F10">
        <f>(Table1[[#This Row],[Salary]]-Answers!$B$2)</f>
        <v>63619.12</v>
      </c>
      <c r="G10">
        <f>(Table1[[#This Row],[X-xbar]]^2)</f>
        <v>4047392429.5744004</v>
      </c>
    </row>
    <row r="11" spans="1:7" x14ac:dyDescent="0.3">
      <c r="A11">
        <v>28</v>
      </c>
      <c r="B11">
        <v>159633</v>
      </c>
      <c r="C11">
        <v>16</v>
      </c>
      <c r="D11">
        <v>1.78097195119217</v>
      </c>
      <c r="E11">
        <v>15</v>
      </c>
      <c r="F11">
        <f>(Table1[[#This Row],[Salary]]-Answers!$B$2)</f>
        <v>159592.12</v>
      </c>
      <c r="G11">
        <f>(Table1[[#This Row],[X-xbar]]^2)</f>
        <v>25469644766.094398</v>
      </c>
    </row>
    <row r="12" spans="1:7" x14ac:dyDescent="0.3">
      <c r="A12">
        <v>28</v>
      </c>
      <c r="B12">
        <v>51854</v>
      </c>
      <c r="C12">
        <v>33</v>
      </c>
      <c r="D12">
        <v>3.88980846104602</v>
      </c>
      <c r="E12">
        <v>17</v>
      </c>
      <c r="F12">
        <f>(Table1[[#This Row],[Salary]]-Answers!$B$2)</f>
        <v>51813.120000000003</v>
      </c>
      <c r="G12">
        <f>(Table1[[#This Row],[X-xbar]]^2)</f>
        <v>2684599404.1344004</v>
      </c>
    </row>
    <row r="13" spans="1:7" x14ac:dyDescent="0.3">
      <c r="A13">
        <v>41</v>
      </c>
      <c r="B13">
        <v>89505</v>
      </c>
      <c r="C13">
        <v>9</v>
      </c>
      <c r="D13">
        <v>2.1230894497634201</v>
      </c>
      <c r="E13">
        <v>14</v>
      </c>
      <c r="F13">
        <f>(Table1[[#This Row],[Salary]]-Answers!$B$2)</f>
        <v>89464.12</v>
      </c>
      <c r="G13">
        <f>(Table1[[#This Row],[X-xbar]]^2)</f>
        <v>8003828767.3743992</v>
      </c>
    </row>
    <row r="14" spans="1:7" x14ac:dyDescent="0.3">
      <c r="A14">
        <v>53</v>
      </c>
      <c r="B14">
        <v>129488</v>
      </c>
      <c r="C14">
        <v>6</v>
      </c>
      <c r="D14">
        <v>1.09726386572581</v>
      </c>
      <c r="E14">
        <v>5</v>
      </c>
      <c r="F14">
        <f>(Table1[[#This Row],[Salary]]-Answers!$B$2)</f>
        <v>129447.12</v>
      </c>
      <c r="G14">
        <f>(Table1[[#This Row],[X-xbar]]^2)</f>
        <v>16756556876.294399</v>
      </c>
    </row>
    <row r="15" spans="1:7" x14ac:dyDescent="0.3">
      <c r="A15">
        <v>57</v>
      </c>
      <c r="B15">
        <v>47662</v>
      </c>
      <c r="C15">
        <v>16</v>
      </c>
      <c r="D15">
        <v>3.5818891836286699</v>
      </c>
      <c r="E15">
        <v>12</v>
      </c>
      <c r="F15">
        <f>(Table1[[#This Row],[Salary]]-Answers!$B$2)</f>
        <v>47621.120000000003</v>
      </c>
      <c r="G15">
        <f>(Table1[[#This Row],[X-xbar]]^2)</f>
        <v>2267771070.0544004</v>
      </c>
    </row>
    <row r="16" spans="1:7" x14ac:dyDescent="0.3">
      <c r="A16">
        <v>41</v>
      </c>
      <c r="B16">
        <v>33392</v>
      </c>
      <c r="C16">
        <v>29</v>
      </c>
      <c r="D16">
        <v>1.70844271762819</v>
      </c>
      <c r="E16">
        <v>16</v>
      </c>
      <c r="F16">
        <f>(Table1[[#This Row],[Salary]]-Answers!$B$2)</f>
        <v>33351.120000000003</v>
      </c>
      <c r="G16">
        <f>(Table1[[#This Row],[X-xbar]]^2)</f>
        <v>1112297205.2544003</v>
      </c>
    </row>
    <row r="17" spans="1:7" x14ac:dyDescent="0.3">
      <c r="A17">
        <v>20</v>
      </c>
      <c r="B17">
        <v>55535</v>
      </c>
      <c r="C17">
        <v>3</v>
      </c>
      <c r="D17">
        <v>4.7618343374116501</v>
      </c>
      <c r="E17">
        <v>16</v>
      </c>
      <c r="F17">
        <f>(Table1[[#This Row],[Salary]]-Answers!$B$2)</f>
        <v>55494.12</v>
      </c>
      <c r="G17">
        <f>(Table1[[#This Row],[X-xbar]]^2)</f>
        <v>3079597354.5744004</v>
      </c>
    </row>
    <row r="18" spans="1:7" x14ac:dyDescent="0.3">
      <c r="A18">
        <v>39</v>
      </c>
      <c r="B18">
        <v>138569</v>
      </c>
      <c r="C18">
        <v>20</v>
      </c>
      <c r="D18">
        <v>4.8157143080103397</v>
      </c>
      <c r="E18">
        <v>7</v>
      </c>
      <c r="F18">
        <f>(Table1[[#This Row],[Salary]]-Answers!$B$2)</f>
        <v>138528.12</v>
      </c>
      <c r="G18">
        <f>(Table1[[#This Row],[X-xbar]]^2)</f>
        <v>19190040030.734398</v>
      </c>
    </row>
    <row r="19" spans="1:7" x14ac:dyDescent="0.3">
      <c r="A19">
        <v>19</v>
      </c>
      <c r="B19">
        <v>77256</v>
      </c>
      <c r="C19">
        <v>36</v>
      </c>
      <c r="D19">
        <v>4.6594575608817896</v>
      </c>
      <c r="E19">
        <v>4</v>
      </c>
      <c r="F19">
        <f>(Table1[[#This Row],[Salary]]-Answers!$B$2)</f>
        <v>77215.12</v>
      </c>
      <c r="G19">
        <f>(Table1[[#This Row],[X-xbar]]^2)</f>
        <v>5962174756.614399</v>
      </c>
    </row>
    <row r="20" spans="1:7" x14ac:dyDescent="0.3">
      <c r="A20">
        <v>41</v>
      </c>
      <c r="B20">
        <v>114135</v>
      </c>
      <c r="C20">
        <v>19</v>
      </c>
      <c r="D20">
        <v>2.48063480102177</v>
      </c>
      <c r="E20">
        <v>1</v>
      </c>
      <c r="F20">
        <f>(Table1[[#This Row],[Salary]]-Answers!$B$2)</f>
        <v>114094.12</v>
      </c>
      <c r="G20">
        <f>(Table1[[#This Row],[X-xbar]]^2)</f>
        <v>13017468218.574398</v>
      </c>
    </row>
    <row r="21" spans="1:7" x14ac:dyDescent="0.3">
      <c r="A21">
        <v>61</v>
      </c>
      <c r="B21">
        <v>152478</v>
      </c>
      <c r="C21">
        <v>26</v>
      </c>
      <c r="D21">
        <v>1.0618264661154599</v>
      </c>
      <c r="E21">
        <v>5</v>
      </c>
      <c r="F21">
        <f>(Table1[[#This Row],[Salary]]-Answers!$B$2)</f>
        <v>152437.12</v>
      </c>
      <c r="G21">
        <f>(Table1[[#This Row],[X-xbar]]^2)</f>
        <v>23237075553.894398</v>
      </c>
    </row>
    <row r="22" spans="1:7" x14ac:dyDescent="0.3">
      <c r="A22">
        <v>47</v>
      </c>
      <c r="B22">
        <v>60222</v>
      </c>
      <c r="C22">
        <v>3</v>
      </c>
      <c r="D22">
        <v>4.7132742503509002</v>
      </c>
      <c r="E22">
        <v>10</v>
      </c>
      <c r="F22">
        <f>(Table1[[#This Row],[Salary]]-Answers!$B$2)</f>
        <v>60181.120000000003</v>
      </c>
      <c r="G22">
        <f>(Table1[[#This Row],[X-xbar]]^2)</f>
        <v>3621767204.4544005</v>
      </c>
    </row>
    <row r="23" spans="1:7" x14ac:dyDescent="0.3">
      <c r="A23">
        <v>55</v>
      </c>
      <c r="B23">
        <v>102373</v>
      </c>
      <c r="C23">
        <v>19</v>
      </c>
      <c r="D23">
        <v>2.7127365932692502</v>
      </c>
      <c r="E23">
        <v>5</v>
      </c>
      <c r="F23">
        <f>(Table1[[#This Row],[Salary]]-Answers!$B$2)</f>
        <v>102332.12</v>
      </c>
      <c r="G23">
        <f>(Table1[[#This Row],[X-xbar]]^2)</f>
        <v>10471862783.694399</v>
      </c>
    </row>
    <row r="24" spans="1:7" x14ac:dyDescent="0.3">
      <c r="A24">
        <v>19</v>
      </c>
      <c r="B24">
        <v>148684</v>
      </c>
      <c r="C24">
        <v>20</v>
      </c>
      <c r="D24">
        <v>4.8666192761746698</v>
      </c>
      <c r="E24">
        <v>4</v>
      </c>
      <c r="F24">
        <f>(Table1[[#This Row],[Salary]]-Answers!$B$2)</f>
        <v>148643.12</v>
      </c>
      <c r="G24">
        <f>(Table1[[#This Row],[X-xbar]]^2)</f>
        <v>22094777123.3344</v>
      </c>
    </row>
    <row r="25" spans="1:7" x14ac:dyDescent="0.3">
      <c r="A25">
        <v>38</v>
      </c>
      <c r="B25">
        <v>35965</v>
      </c>
      <c r="C25">
        <v>32</v>
      </c>
      <c r="D25">
        <v>4.8544799083570096</v>
      </c>
      <c r="E25">
        <v>2</v>
      </c>
      <c r="F25">
        <f>(Table1[[#This Row],[Salary]]-Answers!$B$2)</f>
        <v>35924.120000000003</v>
      </c>
      <c r="G25">
        <f>(Table1[[#This Row],[X-xbar]]^2)</f>
        <v>1290542397.7744002</v>
      </c>
    </row>
    <row r="26" spans="1:7" x14ac:dyDescent="0.3">
      <c r="A26">
        <v>50</v>
      </c>
      <c r="B26">
        <v>49538</v>
      </c>
      <c r="C26">
        <v>7</v>
      </c>
      <c r="D26">
        <v>4.4120378218694398</v>
      </c>
      <c r="E26">
        <v>10</v>
      </c>
      <c r="F26">
        <f>(Table1[[#This Row],[Salary]]-Answers!$B$2)</f>
        <v>49497.120000000003</v>
      </c>
      <c r="G26">
        <f>(Table1[[#This Row],[X-xbar]]^2)</f>
        <v>2449964888.2944002</v>
      </c>
    </row>
    <row r="27" spans="1:7" x14ac:dyDescent="0.3">
      <c r="A27">
        <v>29</v>
      </c>
      <c r="B27">
        <v>133066</v>
      </c>
      <c r="C27">
        <v>41</v>
      </c>
      <c r="D27">
        <v>2.1777955682783401</v>
      </c>
      <c r="E27">
        <v>19</v>
      </c>
      <c r="F27">
        <f>(Table1[[#This Row],[Salary]]-Answers!$B$2)</f>
        <v>133025.12</v>
      </c>
      <c r="G27">
        <f>(Table1[[#This Row],[X-xbar]]^2)</f>
        <v>17695682551.0144</v>
      </c>
    </row>
    <row r="28" spans="1:7" x14ac:dyDescent="0.3">
      <c r="A28">
        <v>39</v>
      </c>
      <c r="B28">
        <v>138252</v>
      </c>
      <c r="C28">
        <v>33</v>
      </c>
      <c r="D28">
        <v>2.5403909144077002</v>
      </c>
      <c r="E28">
        <v>1</v>
      </c>
      <c r="F28">
        <f>(Table1[[#This Row],[Salary]]-Answers!$B$2)</f>
        <v>138211.12</v>
      </c>
      <c r="G28">
        <f>(Table1[[#This Row],[X-xbar]]^2)</f>
        <v>19102313691.6544</v>
      </c>
    </row>
    <row r="29" spans="1:7" x14ac:dyDescent="0.3">
      <c r="A29">
        <v>61</v>
      </c>
      <c r="B29">
        <v>164182</v>
      </c>
      <c r="C29">
        <v>40</v>
      </c>
      <c r="D29">
        <v>4.4045466860674196</v>
      </c>
      <c r="E29">
        <v>5</v>
      </c>
      <c r="F29">
        <f>(Table1[[#This Row],[Salary]]-Answers!$B$2)</f>
        <v>164141.12</v>
      </c>
      <c r="G29">
        <f>(Table1[[#This Row],[X-xbar]]^2)</f>
        <v>26942307274.854397</v>
      </c>
    </row>
    <row r="30" spans="1:7" x14ac:dyDescent="0.3">
      <c r="A30">
        <v>42</v>
      </c>
      <c r="B30">
        <v>123806</v>
      </c>
      <c r="C30">
        <v>39</v>
      </c>
      <c r="D30">
        <v>2.2676880206251102</v>
      </c>
      <c r="E30">
        <v>13</v>
      </c>
      <c r="F30">
        <f>(Table1[[#This Row],[Salary]]-Answers!$B$2)</f>
        <v>123765.12</v>
      </c>
      <c r="G30">
        <f>(Table1[[#This Row],[X-xbar]]^2)</f>
        <v>15317804928.614399</v>
      </c>
    </row>
    <row r="31" spans="1:7" x14ac:dyDescent="0.3">
      <c r="A31">
        <v>44</v>
      </c>
      <c r="B31">
        <v>162982</v>
      </c>
      <c r="C31">
        <v>18</v>
      </c>
      <c r="D31">
        <v>1.67797098674437</v>
      </c>
      <c r="E31">
        <v>4</v>
      </c>
      <c r="F31">
        <f>(Table1[[#This Row],[Salary]]-Answers!$B$2)</f>
        <v>162941.12</v>
      </c>
      <c r="G31">
        <f>(Table1[[#This Row],[X-xbar]]^2)</f>
        <v>26549808586.854397</v>
      </c>
    </row>
    <row r="32" spans="1:7" x14ac:dyDescent="0.3">
      <c r="A32">
        <v>59</v>
      </c>
      <c r="B32">
        <v>135989</v>
      </c>
      <c r="C32">
        <v>40</v>
      </c>
      <c r="D32">
        <v>3.2272050498334002</v>
      </c>
      <c r="E32">
        <v>16</v>
      </c>
      <c r="F32">
        <f>(Table1[[#This Row],[Salary]]-Answers!$B$2)</f>
        <v>135948.12</v>
      </c>
      <c r="G32">
        <f>(Table1[[#This Row],[X-xbar]]^2)</f>
        <v>18481891331.534397</v>
      </c>
    </row>
    <row r="33" spans="1:7" x14ac:dyDescent="0.3">
      <c r="A33">
        <v>45</v>
      </c>
      <c r="B33">
        <v>115982</v>
      </c>
      <c r="C33">
        <v>1</v>
      </c>
      <c r="D33">
        <v>4.7446190966431203</v>
      </c>
      <c r="E33">
        <v>16</v>
      </c>
      <c r="F33">
        <f>(Table1[[#This Row],[Salary]]-Answers!$B$2)</f>
        <v>115941.12</v>
      </c>
      <c r="G33">
        <f>(Table1[[#This Row],[X-xbar]]^2)</f>
        <v>13442343306.854399</v>
      </c>
    </row>
    <row r="34" spans="1:7" x14ac:dyDescent="0.3">
      <c r="A34">
        <v>33</v>
      </c>
      <c r="B34">
        <v>146626</v>
      </c>
      <c r="C34">
        <v>11</v>
      </c>
      <c r="D34">
        <v>3.7841191866998898</v>
      </c>
      <c r="E34">
        <v>2</v>
      </c>
      <c r="F34">
        <f>(Table1[[#This Row],[Salary]]-Answers!$B$2)</f>
        <v>146585.12</v>
      </c>
      <c r="G34">
        <f>(Table1[[#This Row],[X-xbar]]^2)</f>
        <v>21487197405.414398</v>
      </c>
    </row>
    <row r="35" spans="1:7" x14ac:dyDescent="0.3">
      <c r="A35">
        <v>32</v>
      </c>
      <c r="B35">
        <v>144176</v>
      </c>
      <c r="C35">
        <v>28</v>
      </c>
      <c r="D35">
        <v>3.2802446803574599</v>
      </c>
      <c r="E35">
        <v>17</v>
      </c>
      <c r="F35">
        <f>(Table1[[#This Row],[Salary]]-Answers!$B$2)</f>
        <v>144135.12</v>
      </c>
      <c r="G35">
        <f>(Table1[[#This Row],[X-xbar]]^2)</f>
        <v>20774932817.414398</v>
      </c>
    </row>
    <row r="36" spans="1:7" x14ac:dyDescent="0.3">
      <c r="A36">
        <v>64</v>
      </c>
      <c r="B36">
        <v>156278</v>
      </c>
      <c r="C36">
        <v>25</v>
      </c>
      <c r="D36">
        <v>1.3887059750830699</v>
      </c>
      <c r="E36">
        <v>12</v>
      </c>
      <c r="F36">
        <f>(Table1[[#This Row],[Salary]]-Answers!$B$2)</f>
        <v>156237.12</v>
      </c>
      <c r="G36">
        <f>(Table1[[#This Row],[X-xbar]]^2)</f>
        <v>24410037665.894398</v>
      </c>
    </row>
    <row r="37" spans="1:7" x14ac:dyDescent="0.3">
      <c r="A37">
        <v>61</v>
      </c>
      <c r="B37">
        <v>147409</v>
      </c>
      <c r="C37">
        <v>23</v>
      </c>
      <c r="D37">
        <v>3.4600289067966701</v>
      </c>
      <c r="E37">
        <v>18</v>
      </c>
      <c r="F37">
        <f>(Table1[[#This Row],[Salary]]-Answers!$B$2)</f>
        <v>147368.12</v>
      </c>
      <c r="G37">
        <f>(Table1[[#This Row],[X-xbar]]^2)</f>
        <v>21717362792.3344</v>
      </c>
    </row>
    <row r="38" spans="1:7" x14ac:dyDescent="0.3">
      <c r="A38">
        <v>20</v>
      </c>
      <c r="B38">
        <v>48419</v>
      </c>
      <c r="C38">
        <v>31</v>
      </c>
      <c r="D38">
        <v>4.9602154004170496</v>
      </c>
      <c r="E38">
        <v>3</v>
      </c>
      <c r="F38">
        <f>(Table1[[#This Row],[Salary]]-Answers!$B$2)</f>
        <v>48378.12</v>
      </c>
      <c r="G38">
        <f>(Table1[[#This Row],[X-xbar]]^2)</f>
        <v>2340442494.7344003</v>
      </c>
    </row>
    <row r="39" spans="1:7" x14ac:dyDescent="0.3">
      <c r="A39">
        <v>54</v>
      </c>
      <c r="B39">
        <v>75015</v>
      </c>
      <c r="C39">
        <v>30</v>
      </c>
      <c r="D39">
        <v>1.5603360609460899</v>
      </c>
      <c r="E39">
        <v>1</v>
      </c>
      <c r="F39">
        <f>(Table1[[#This Row],[Salary]]-Answers!$B$2)</f>
        <v>74974.12</v>
      </c>
      <c r="G39">
        <f>(Table1[[#This Row],[X-xbar]]^2)</f>
        <v>5621118669.7743998</v>
      </c>
    </row>
    <row r="40" spans="1:7" x14ac:dyDescent="0.3">
      <c r="A40">
        <v>24</v>
      </c>
      <c r="B40">
        <v>147096</v>
      </c>
      <c r="C40">
        <v>42</v>
      </c>
      <c r="D40">
        <v>3.0733186094549398</v>
      </c>
      <c r="E40">
        <v>1</v>
      </c>
      <c r="F40">
        <f>(Table1[[#This Row],[Salary]]-Answers!$B$2)</f>
        <v>147055.12</v>
      </c>
      <c r="G40">
        <f>(Table1[[#This Row],[X-xbar]]^2)</f>
        <v>21625208318.214397</v>
      </c>
    </row>
    <row r="41" spans="1:7" x14ac:dyDescent="0.3">
      <c r="A41">
        <v>38</v>
      </c>
      <c r="B41">
        <v>132059</v>
      </c>
      <c r="C41">
        <v>35</v>
      </c>
      <c r="D41">
        <v>4.5094922877118204</v>
      </c>
      <c r="E41">
        <v>19</v>
      </c>
      <c r="F41">
        <f>(Table1[[#This Row],[Salary]]-Answers!$B$2)</f>
        <v>132018.12</v>
      </c>
      <c r="G41">
        <f>(Table1[[#This Row],[X-xbar]]^2)</f>
        <v>17428784008.3344</v>
      </c>
    </row>
    <row r="42" spans="1:7" x14ac:dyDescent="0.3">
      <c r="A42">
        <v>26</v>
      </c>
      <c r="B42">
        <v>135687</v>
      </c>
      <c r="C42">
        <v>7</v>
      </c>
      <c r="D42">
        <v>3.9630744710168102</v>
      </c>
      <c r="E42">
        <v>11</v>
      </c>
      <c r="F42">
        <f>(Table1[[#This Row],[Salary]]-Answers!$B$2)</f>
        <v>135646.12</v>
      </c>
      <c r="G42">
        <f>(Table1[[#This Row],[X-xbar]]^2)</f>
        <v>18399869871.054398</v>
      </c>
    </row>
    <row r="43" spans="1:7" x14ac:dyDescent="0.3">
      <c r="A43">
        <v>56</v>
      </c>
      <c r="B43">
        <v>112939</v>
      </c>
      <c r="C43">
        <v>16</v>
      </c>
      <c r="D43">
        <v>3.7880629639810701</v>
      </c>
      <c r="E43">
        <v>5</v>
      </c>
      <c r="F43">
        <f>(Table1[[#This Row],[Salary]]-Answers!$B$2)</f>
        <v>112898.12</v>
      </c>
      <c r="G43">
        <f>(Table1[[#This Row],[X-xbar]]^2)</f>
        <v>12745985499.534399</v>
      </c>
    </row>
    <row r="44" spans="1:7" x14ac:dyDescent="0.3">
      <c r="A44">
        <v>35</v>
      </c>
      <c r="B44">
        <v>174213</v>
      </c>
      <c r="C44">
        <v>26</v>
      </c>
      <c r="D44">
        <v>3.80993633594843</v>
      </c>
      <c r="E44">
        <v>12</v>
      </c>
      <c r="F44">
        <f>(Table1[[#This Row],[Salary]]-Answers!$B$2)</f>
        <v>174172.12</v>
      </c>
      <c r="G44">
        <f>(Table1[[#This Row],[X-xbar]]^2)</f>
        <v>30335927385.294399</v>
      </c>
    </row>
    <row r="45" spans="1:7" x14ac:dyDescent="0.3">
      <c r="A45">
        <v>21</v>
      </c>
      <c r="B45">
        <v>130878</v>
      </c>
      <c r="C45">
        <v>48</v>
      </c>
      <c r="D45">
        <v>2.4379646048790198</v>
      </c>
      <c r="E45">
        <v>3</v>
      </c>
      <c r="F45">
        <f>(Table1[[#This Row],[Salary]]-Answers!$B$2)</f>
        <v>130837.12</v>
      </c>
      <c r="G45">
        <f>(Table1[[#This Row],[X-xbar]]^2)</f>
        <v>17118351969.8944</v>
      </c>
    </row>
    <row r="46" spans="1:7" x14ac:dyDescent="0.3">
      <c r="A46">
        <v>42</v>
      </c>
      <c r="B46">
        <v>87623</v>
      </c>
      <c r="C46">
        <v>49</v>
      </c>
      <c r="D46">
        <v>2.1743673770579699</v>
      </c>
      <c r="E46">
        <v>1</v>
      </c>
      <c r="F46">
        <f>(Table1[[#This Row],[Salary]]-Answers!$B$2)</f>
        <v>87582.12</v>
      </c>
      <c r="G46">
        <f>(Table1[[#This Row],[X-xbar]]^2)</f>
        <v>7670627743.6943989</v>
      </c>
    </row>
    <row r="47" spans="1:7" x14ac:dyDescent="0.3">
      <c r="A47">
        <v>31</v>
      </c>
      <c r="B47">
        <v>100450</v>
      </c>
      <c r="C47">
        <v>2</v>
      </c>
      <c r="D47">
        <v>4.23744462191405</v>
      </c>
      <c r="E47">
        <v>1</v>
      </c>
      <c r="F47">
        <f>(Table1[[#This Row],[Salary]]-Answers!$B$2)</f>
        <v>100409.12</v>
      </c>
      <c r="G47">
        <f>(Table1[[#This Row],[X-xbar]]^2)</f>
        <v>10081991379.174398</v>
      </c>
    </row>
    <row r="48" spans="1:7" x14ac:dyDescent="0.3">
      <c r="A48">
        <v>26</v>
      </c>
      <c r="B48">
        <v>118426</v>
      </c>
      <c r="C48">
        <v>1</v>
      </c>
      <c r="D48">
        <v>4.2404535787167204</v>
      </c>
      <c r="E48">
        <v>8</v>
      </c>
      <c r="F48">
        <f>(Table1[[#This Row],[Salary]]-Answers!$B$2)</f>
        <v>118385.12</v>
      </c>
      <c r="G48">
        <f>(Table1[[#This Row],[X-xbar]]^2)</f>
        <v>14015036637.414398</v>
      </c>
    </row>
    <row r="49" spans="1:7" x14ac:dyDescent="0.3">
      <c r="A49">
        <v>43</v>
      </c>
      <c r="B49">
        <v>142845</v>
      </c>
      <c r="C49">
        <v>48</v>
      </c>
      <c r="D49">
        <v>4.4682892743204103</v>
      </c>
      <c r="E49">
        <v>10</v>
      </c>
      <c r="F49">
        <f>(Table1[[#This Row],[Salary]]-Answers!$B$2)</f>
        <v>142804.12</v>
      </c>
      <c r="G49">
        <f>(Table1[[#This Row],[X-xbar]]^2)</f>
        <v>20393016688.9744</v>
      </c>
    </row>
    <row r="50" spans="1:7" x14ac:dyDescent="0.3">
      <c r="A50">
        <v>19</v>
      </c>
      <c r="B50">
        <v>178371</v>
      </c>
      <c r="C50">
        <v>12</v>
      </c>
      <c r="D50">
        <v>4.6529622102258799</v>
      </c>
      <c r="E50">
        <v>11</v>
      </c>
      <c r="F50">
        <f>(Table1[[#This Row],[Salary]]-Answers!$B$2)</f>
        <v>178330.12</v>
      </c>
      <c r="G50">
        <f>(Table1[[#This Row],[X-xbar]]^2)</f>
        <v>31801631699.214397</v>
      </c>
    </row>
    <row r="51" spans="1:7" x14ac:dyDescent="0.3">
      <c r="A51">
        <v>37</v>
      </c>
      <c r="B51">
        <v>68585</v>
      </c>
      <c r="C51">
        <v>5</v>
      </c>
      <c r="D51">
        <v>3.0453695954437499</v>
      </c>
      <c r="E51">
        <v>12</v>
      </c>
      <c r="F51">
        <f>(Table1[[#This Row],[Salary]]-Answers!$B$2)</f>
        <v>68544.12</v>
      </c>
      <c r="G51">
        <f>(Table1[[#This Row],[X-xbar]]^2)</f>
        <v>4698296386.574399</v>
      </c>
    </row>
    <row r="52" spans="1:7" x14ac:dyDescent="0.3">
      <c r="A52">
        <v>45</v>
      </c>
      <c r="B52">
        <v>134225</v>
      </c>
      <c r="C52">
        <v>37</v>
      </c>
      <c r="D52">
        <v>3.00606517874879</v>
      </c>
      <c r="E52">
        <v>13</v>
      </c>
      <c r="F52">
        <f>(Table1[[#This Row],[Salary]]-Answers!$B$2)</f>
        <v>134184.12</v>
      </c>
      <c r="G52">
        <f>(Table1[[#This Row],[X-xbar]]^2)</f>
        <v>18005378060.1744</v>
      </c>
    </row>
    <row r="53" spans="1:7" x14ac:dyDescent="0.3">
      <c r="A53">
        <v>64</v>
      </c>
      <c r="B53">
        <v>89044</v>
      </c>
      <c r="C53">
        <v>32</v>
      </c>
      <c r="D53">
        <v>4.1931807158670997</v>
      </c>
      <c r="E53">
        <v>12</v>
      </c>
      <c r="F53">
        <f>(Table1[[#This Row],[Salary]]-Answers!$B$2)</f>
        <v>89003.12</v>
      </c>
      <c r="G53">
        <f>(Table1[[#This Row],[X-xbar]]^2)</f>
        <v>7921555369.7343988</v>
      </c>
    </row>
    <row r="54" spans="1:7" x14ac:dyDescent="0.3">
      <c r="A54">
        <v>24</v>
      </c>
      <c r="B54">
        <v>134556</v>
      </c>
      <c r="C54">
        <v>9</v>
      </c>
      <c r="D54">
        <v>3.5998557231110602</v>
      </c>
      <c r="E54">
        <v>14</v>
      </c>
      <c r="F54">
        <f>(Table1[[#This Row],[Salary]]-Answers!$B$2)</f>
        <v>134515.12</v>
      </c>
      <c r="G54">
        <f>(Table1[[#This Row],[X-xbar]]^2)</f>
        <v>18094317508.614399</v>
      </c>
    </row>
    <row r="55" spans="1:7" x14ac:dyDescent="0.3">
      <c r="A55">
        <v>61</v>
      </c>
      <c r="B55">
        <v>27693</v>
      </c>
      <c r="C55">
        <v>41</v>
      </c>
      <c r="D55">
        <v>3.8078675090308098</v>
      </c>
      <c r="E55">
        <v>2</v>
      </c>
      <c r="F55">
        <f>(Table1[[#This Row],[Salary]]-Answers!$B$2)</f>
        <v>27652.12</v>
      </c>
      <c r="G55">
        <f>(Table1[[#This Row],[X-xbar]]^2)</f>
        <v>764639740.49439991</v>
      </c>
    </row>
    <row r="56" spans="1:7" x14ac:dyDescent="0.3">
      <c r="A56">
        <v>25</v>
      </c>
      <c r="B56">
        <v>120259</v>
      </c>
      <c r="C56">
        <v>35</v>
      </c>
      <c r="D56">
        <v>4.1831706777443998</v>
      </c>
      <c r="E56">
        <v>19</v>
      </c>
      <c r="F56">
        <f>(Table1[[#This Row],[Salary]]-Answers!$B$2)</f>
        <v>120218.12</v>
      </c>
      <c r="G56">
        <f>(Table1[[#This Row],[X-xbar]]^2)</f>
        <v>14452396376.334398</v>
      </c>
    </row>
    <row r="57" spans="1:7" x14ac:dyDescent="0.3">
      <c r="A57">
        <v>64</v>
      </c>
      <c r="B57">
        <v>50939</v>
      </c>
      <c r="C57">
        <v>19</v>
      </c>
      <c r="D57">
        <v>4.5600213672702603</v>
      </c>
      <c r="E57">
        <v>18</v>
      </c>
      <c r="F57">
        <f>(Table1[[#This Row],[Salary]]-Answers!$B$2)</f>
        <v>50898.12</v>
      </c>
      <c r="G57">
        <f>(Table1[[#This Row],[X-xbar]]^2)</f>
        <v>2590618619.5344005</v>
      </c>
    </row>
    <row r="58" spans="1:7" x14ac:dyDescent="0.3">
      <c r="A58">
        <v>52</v>
      </c>
      <c r="B58">
        <v>177906</v>
      </c>
      <c r="C58">
        <v>48</v>
      </c>
      <c r="D58">
        <v>2.3519806274061401</v>
      </c>
      <c r="E58">
        <v>3</v>
      </c>
      <c r="F58">
        <f>(Table1[[#This Row],[Salary]]-Answers!$B$2)</f>
        <v>177865.12</v>
      </c>
      <c r="G58">
        <f>(Table1[[#This Row],[X-xbar]]^2)</f>
        <v>31636000912.614399</v>
      </c>
    </row>
    <row r="59" spans="1:7" x14ac:dyDescent="0.3">
      <c r="A59">
        <v>31</v>
      </c>
      <c r="B59">
        <v>43047</v>
      </c>
      <c r="C59">
        <v>16</v>
      </c>
      <c r="D59">
        <v>2.5023318105597698</v>
      </c>
      <c r="E59">
        <v>17</v>
      </c>
      <c r="F59">
        <f>(Table1[[#This Row],[Salary]]-Answers!$B$2)</f>
        <v>43006.12</v>
      </c>
      <c r="G59">
        <f>(Table1[[#This Row],[X-xbar]]^2)</f>
        <v>1849526357.4544003</v>
      </c>
    </row>
    <row r="60" spans="1:7" x14ac:dyDescent="0.3">
      <c r="A60">
        <v>34</v>
      </c>
      <c r="B60">
        <v>51105</v>
      </c>
      <c r="C60">
        <v>3</v>
      </c>
      <c r="D60">
        <v>1.37592775936347</v>
      </c>
      <c r="E60">
        <v>8</v>
      </c>
      <c r="F60">
        <f>(Table1[[#This Row],[Salary]]-Answers!$B$2)</f>
        <v>51064.12</v>
      </c>
      <c r="G60">
        <f>(Table1[[#This Row],[X-xbar]]^2)</f>
        <v>2607544351.3744001</v>
      </c>
    </row>
    <row r="61" spans="1:7" x14ac:dyDescent="0.3">
      <c r="A61">
        <v>53</v>
      </c>
      <c r="B61">
        <v>100766</v>
      </c>
      <c r="C61">
        <v>20</v>
      </c>
      <c r="D61">
        <v>3.3131205639846901</v>
      </c>
      <c r="E61">
        <v>10</v>
      </c>
      <c r="F61">
        <f>(Table1[[#This Row],[Salary]]-Answers!$B$2)</f>
        <v>100725.12</v>
      </c>
      <c r="G61">
        <f>(Table1[[#This Row],[X-xbar]]^2)</f>
        <v>10145549799.014399</v>
      </c>
    </row>
    <row r="62" spans="1:7" x14ac:dyDescent="0.3">
      <c r="A62">
        <v>57</v>
      </c>
      <c r="B62">
        <v>171779</v>
      </c>
      <c r="C62">
        <v>24</v>
      </c>
      <c r="D62">
        <v>1.1437690951869599</v>
      </c>
      <c r="E62">
        <v>2</v>
      </c>
      <c r="F62">
        <f>(Table1[[#This Row],[Salary]]-Answers!$B$2)</f>
        <v>171738.12</v>
      </c>
      <c r="G62">
        <f>(Table1[[#This Row],[X-xbar]]^2)</f>
        <v>29493981861.134399</v>
      </c>
    </row>
    <row r="63" spans="1:7" x14ac:dyDescent="0.3">
      <c r="A63">
        <v>21</v>
      </c>
      <c r="B63">
        <v>178048</v>
      </c>
      <c r="C63">
        <v>33</v>
      </c>
      <c r="D63">
        <v>2.8623920725298402</v>
      </c>
      <c r="E63">
        <v>19</v>
      </c>
      <c r="F63">
        <f>(Table1[[#This Row],[Salary]]-Answers!$B$2)</f>
        <v>178007.12</v>
      </c>
      <c r="G63">
        <f>(Table1[[#This Row],[X-xbar]]^2)</f>
        <v>31686534770.694397</v>
      </c>
    </row>
    <row r="64" spans="1:7" x14ac:dyDescent="0.3">
      <c r="A64">
        <v>19</v>
      </c>
      <c r="B64">
        <v>69262</v>
      </c>
      <c r="C64">
        <v>24</v>
      </c>
      <c r="D64">
        <v>3.1705785388302998</v>
      </c>
      <c r="E64">
        <v>9</v>
      </c>
      <c r="F64">
        <f>(Table1[[#This Row],[Salary]]-Answers!$B$2)</f>
        <v>69221.119999999995</v>
      </c>
      <c r="G64">
        <f>(Table1[[#This Row],[X-xbar]]^2)</f>
        <v>4791563454.0543995</v>
      </c>
    </row>
    <row r="65" spans="1:7" x14ac:dyDescent="0.3">
      <c r="A65">
        <v>23</v>
      </c>
      <c r="B65">
        <v>150117</v>
      </c>
      <c r="C65">
        <v>11</v>
      </c>
      <c r="D65">
        <v>2.1461650085131301</v>
      </c>
      <c r="E65">
        <v>7</v>
      </c>
      <c r="F65">
        <f>(Table1[[#This Row],[Salary]]-Answers!$B$2)</f>
        <v>150076.12</v>
      </c>
      <c r="G65">
        <f>(Table1[[#This Row],[X-xbar]]^2)</f>
        <v>22522841794.254398</v>
      </c>
    </row>
    <row r="66" spans="1:7" x14ac:dyDescent="0.3">
      <c r="A66">
        <v>59</v>
      </c>
      <c r="B66">
        <v>48776</v>
      </c>
      <c r="C66">
        <v>49</v>
      </c>
      <c r="D66">
        <v>3.3633330422760399</v>
      </c>
      <c r="E66">
        <v>4</v>
      </c>
      <c r="F66">
        <f>(Table1[[#This Row],[Salary]]-Answers!$B$2)</f>
        <v>48735.12</v>
      </c>
      <c r="G66">
        <f>(Table1[[#This Row],[X-xbar]]^2)</f>
        <v>2375111921.4144001</v>
      </c>
    </row>
    <row r="67" spans="1:7" x14ac:dyDescent="0.3">
      <c r="A67">
        <v>21</v>
      </c>
      <c r="B67">
        <v>153376</v>
      </c>
      <c r="C67">
        <v>8</v>
      </c>
      <c r="D67">
        <v>1.1220009997561899</v>
      </c>
      <c r="E67">
        <v>18</v>
      </c>
      <c r="F67">
        <f>(Table1[[#This Row],[Salary]]-Answers!$B$2)</f>
        <v>153335.12</v>
      </c>
      <c r="G67">
        <f>(Table1[[#This Row],[X-xbar]]^2)</f>
        <v>23511659025.414398</v>
      </c>
    </row>
    <row r="68" spans="1:7" x14ac:dyDescent="0.3">
      <c r="A68">
        <v>46</v>
      </c>
      <c r="B68">
        <v>162848</v>
      </c>
      <c r="C68">
        <v>36</v>
      </c>
      <c r="D68">
        <v>1.1493927549968499</v>
      </c>
      <c r="E68">
        <v>13</v>
      </c>
      <c r="F68">
        <f>(Table1[[#This Row],[Salary]]-Answers!$B$2)</f>
        <v>162807.12</v>
      </c>
      <c r="G68">
        <f>(Table1[[#This Row],[X-xbar]]^2)</f>
        <v>26506158322.694397</v>
      </c>
    </row>
    <row r="69" spans="1:7" x14ac:dyDescent="0.3">
      <c r="A69">
        <v>35</v>
      </c>
      <c r="B69">
        <v>117787</v>
      </c>
      <c r="C69">
        <v>38</v>
      </c>
      <c r="D69">
        <v>4.2904022426386303</v>
      </c>
      <c r="E69">
        <v>11</v>
      </c>
      <c r="F69">
        <f>(Table1[[#This Row],[Salary]]-Answers!$B$2)</f>
        <v>117746.12</v>
      </c>
      <c r="G69">
        <f>(Table1[[#This Row],[X-xbar]]^2)</f>
        <v>13864148775.054399</v>
      </c>
    </row>
    <row r="70" spans="1:7" x14ac:dyDescent="0.3">
      <c r="A70">
        <v>43</v>
      </c>
      <c r="B70">
        <v>152948</v>
      </c>
      <c r="C70">
        <v>40</v>
      </c>
      <c r="D70">
        <v>2.4407625656450498</v>
      </c>
      <c r="E70">
        <v>4</v>
      </c>
      <c r="F70">
        <f>(Table1[[#This Row],[Salary]]-Answers!$B$2)</f>
        <v>152907.12</v>
      </c>
      <c r="G70">
        <f>(Table1[[#This Row],[X-xbar]]^2)</f>
        <v>23380587346.694397</v>
      </c>
    </row>
    <row r="71" spans="1:7" x14ac:dyDescent="0.3">
      <c r="A71">
        <v>61</v>
      </c>
      <c r="B71">
        <v>80016</v>
      </c>
      <c r="C71">
        <v>20</v>
      </c>
      <c r="D71">
        <v>1.50824205060753</v>
      </c>
      <c r="E71">
        <v>4</v>
      </c>
      <c r="F71">
        <f>(Table1[[#This Row],[Salary]]-Answers!$B$2)</f>
        <v>79975.12</v>
      </c>
      <c r="G71">
        <f>(Table1[[#This Row],[X-xbar]]^2)</f>
        <v>6396019819.0143995</v>
      </c>
    </row>
    <row r="72" spans="1:7" x14ac:dyDescent="0.3">
      <c r="A72">
        <v>51</v>
      </c>
      <c r="B72">
        <v>165546</v>
      </c>
      <c r="C72">
        <v>35</v>
      </c>
      <c r="D72">
        <v>3.0889730402192099</v>
      </c>
      <c r="E72">
        <v>10</v>
      </c>
      <c r="F72">
        <f>(Table1[[#This Row],[Salary]]-Answers!$B$2)</f>
        <v>165505.12</v>
      </c>
      <c r="G72">
        <f>(Table1[[#This Row],[X-xbar]]^2)</f>
        <v>27391944746.214397</v>
      </c>
    </row>
    <row r="73" spans="1:7" x14ac:dyDescent="0.3">
      <c r="A73">
        <v>27</v>
      </c>
      <c r="B73">
        <v>46959</v>
      </c>
      <c r="C73">
        <v>48</v>
      </c>
      <c r="D73">
        <v>4.0799742123944398</v>
      </c>
      <c r="E73">
        <v>5</v>
      </c>
      <c r="F73">
        <f>(Table1[[#This Row],[Salary]]-Answers!$B$2)</f>
        <v>46918.12</v>
      </c>
      <c r="G73">
        <f>(Table1[[#This Row],[X-xbar]]^2)</f>
        <v>2201309984.3344002</v>
      </c>
    </row>
    <row r="74" spans="1:7" x14ac:dyDescent="0.3">
      <c r="A74">
        <v>53</v>
      </c>
      <c r="B74">
        <v>161602</v>
      </c>
      <c r="C74">
        <v>25</v>
      </c>
      <c r="D74">
        <v>1.86328410998737</v>
      </c>
      <c r="E74">
        <v>9</v>
      </c>
      <c r="F74">
        <f>(Table1[[#This Row],[Salary]]-Answers!$B$2)</f>
        <v>161561.12</v>
      </c>
      <c r="G74">
        <f>(Table1[[#This Row],[X-xbar]]^2)</f>
        <v>26101995495.6544</v>
      </c>
    </row>
    <row r="75" spans="1:7" x14ac:dyDescent="0.3">
      <c r="A75">
        <v>31</v>
      </c>
      <c r="B75">
        <v>144101</v>
      </c>
      <c r="C75">
        <v>35</v>
      </c>
      <c r="D75">
        <v>3.4915619032760001</v>
      </c>
      <c r="E75">
        <v>3</v>
      </c>
      <c r="F75">
        <f>(Table1[[#This Row],[Salary]]-Answers!$B$2)</f>
        <v>144060.12</v>
      </c>
      <c r="G75">
        <f>(Table1[[#This Row],[X-xbar]]^2)</f>
        <v>20753318174.414398</v>
      </c>
    </row>
    <row r="76" spans="1:7" x14ac:dyDescent="0.3">
      <c r="A76">
        <v>48</v>
      </c>
      <c r="B76">
        <v>28748</v>
      </c>
      <c r="C76">
        <v>25</v>
      </c>
      <c r="D76">
        <v>1.34138985997507</v>
      </c>
      <c r="E76">
        <v>17</v>
      </c>
      <c r="F76">
        <f>(Table1[[#This Row],[Salary]]-Answers!$B$2)</f>
        <v>28707.119999999999</v>
      </c>
      <c r="G76">
        <f>(Table1[[#This Row],[X-xbar]]^2)</f>
        <v>824098738.69439995</v>
      </c>
    </row>
    <row r="77" spans="1:7" x14ac:dyDescent="0.3">
      <c r="A77">
        <v>32</v>
      </c>
      <c r="B77">
        <v>38545</v>
      </c>
      <c r="C77">
        <v>29</v>
      </c>
      <c r="D77">
        <v>1.2067268846744299</v>
      </c>
      <c r="E77">
        <v>3</v>
      </c>
      <c r="F77">
        <f>(Table1[[#This Row],[Salary]]-Answers!$B$2)</f>
        <v>38504.120000000003</v>
      </c>
      <c r="G77">
        <f>(Table1[[#This Row],[X-xbar]]^2)</f>
        <v>1482567256.9744003</v>
      </c>
    </row>
    <row r="78" spans="1:7" x14ac:dyDescent="0.3">
      <c r="A78">
        <v>25</v>
      </c>
      <c r="B78">
        <v>152659</v>
      </c>
      <c r="C78">
        <v>18</v>
      </c>
      <c r="D78">
        <v>3.1254185262725902</v>
      </c>
      <c r="E78">
        <v>16</v>
      </c>
      <c r="F78">
        <f>(Table1[[#This Row],[Salary]]-Answers!$B$2)</f>
        <v>152618.12</v>
      </c>
      <c r="G78">
        <f>(Table1[[#This Row],[X-xbar]]^2)</f>
        <v>23292290552.3344</v>
      </c>
    </row>
    <row r="79" spans="1:7" x14ac:dyDescent="0.3">
      <c r="A79">
        <v>31</v>
      </c>
      <c r="B79">
        <v>98530</v>
      </c>
      <c r="C79">
        <v>46</v>
      </c>
      <c r="D79">
        <v>3.1625404864404199</v>
      </c>
      <c r="E79">
        <v>4</v>
      </c>
      <c r="F79">
        <f>(Table1[[#This Row],[Salary]]-Answers!$B$2)</f>
        <v>98489.12</v>
      </c>
      <c r="G79">
        <f>(Table1[[#This Row],[X-xbar]]^2)</f>
        <v>9700106758.3743992</v>
      </c>
    </row>
    <row r="80" spans="1:7" x14ac:dyDescent="0.3">
      <c r="A80">
        <v>40</v>
      </c>
      <c r="B80">
        <v>118557</v>
      </c>
      <c r="C80">
        <v>18</v>
      </c>
      <c r="D80">
        <v>3.54971960599282</v>
      </c>
      <c r="E80">
        <v>18</v>
      </c>
      <c r="F80">
        <f>(Table1[[#This Row],[Salary]]-Answers!$B$2)</f>
        <v>118516.12</v>
      </c>
      <c r="G80">
        <f>(Table1[[#This Row],[X-xbar]]^2)</f>
        <v>14046070699.854399</v>
      </c>
    </row>
    <row r="81" spans="1:7" x14ac:dyDescent="0.3">
      <c r="A81">
        <v>57</v>
      </c>
      <c r="B81">
        <v>86087</v>
      </c>
      <c r="C81">
        <v>2</v>
      </c>
      <c r="D81">
        <v>3.90436533489064</v>
      </c>
      <c r="E81">
        <v>17</v>
      </c>
      <c r="F81">
        <f>(Table1[[#This Row],[Salary]]-Answers!$B$2)</f>
        <v>86046.12</v>
      </c>
      <c r="G81">
        <f>(Table1[[#This Row],[X-xbar]]^2)</f>
        <v>7403934767.0543995</v>
      </c>
    </row>
    <row r="82" spans="1:7" x14ac:dyDescent="0.3">
      <c r="A82">
        <v>38</v>
      </c>
      <c r="B82">
        <v>93840</v>
      </c>
      <c r="C82">
        <v>35</v>
      </c>
      <c r="D82">
        <v>4.90340831785013</v>
      </c>
      <c r="E82">
        <v>7</v>
      </c>
      <c r="F82">
        <f>(Table1[[#This Row],[Salary]]-Answers!$B$2)</f>
        <v>93799.12</v>
      </c>
      <c r="G82">
        <f>(Table1[[#This Row],[X-xbar]]^2)</f>
        <v>8798274912.7743988</v>
      </c>
    </row>
    <row r="83" spans="1:7" x14ac:dyDescent="0.3">
      <c r="A83">
        <v>33</v>
      </c>
      <c r="B83">
        <v>143451</v>
      </c>
      <c r="C83">
        <v>16</v>
      </c>
      <c r="D83">
        <v>3.0652013932047799</v>
      </c>
      <c r="E83">
        <v>5</v>
      </c>
      <c r="F83">
        <f>(Table1[[#This Row],[Salary]]-Answers!$B$2)</f>
        <v>143410.12</v>
      </c>
      <c r="G83">
        <f>(Table1[[#This Row],[X-xbar]]^2)</f>
        <v>20566462518.414398</v>
      </c>
    </row>
    <row r="84" spans="1:7" x14ac:dyDescent="0.3">
      <c r="A84">
        <v>62</v>
      </c>
      <c r="B84">
        <v>76005</v>
      </c>
      <c r="C84">
        <v>41</v>
      </c>
      <c r="D84">
        <v>2.2918258917649799</v>
      </c>
      <c r="E84">
        <v>12</v>
      </c>
      <c r="F84">
        <f>(Table1[[#This Row],[Salary]]-Answers!$B$2)</f>
        <v>75964.12</v>
      </c>
      <c r="G84">
        <f>(Table1[[#This Row],[X-xbar]]^2)</f>
        <v>5770547527.3743992</v>
      </c>
    </row>
    <row r="85" spans="1:7" x14ac:dyDescent="0.3">
      <c r="A85">
        <v>35</v>
      </c>
      <c r="B85">
        <v>64353</v>
      </c>
      <c r="C85">
        <v>36</v>
      </c>
      <c r="D85">
        <v>4.1807447790748098</v>
      </c>
      <c r="E85">
        <v>17</v>
      </c>
      <c r="F85">
        <f>(Table1[[#This Row],[Salary]]-Answers!$B$2)</f>
        <v>64312.12</v>
      </c>
      <c r="G85">
        <f>(Table1[[#This Row],[X-xbar]]^2)</f>
        <v>4136048778.8944001</v>
      </c>
    </row>
    <row r="86" spans="1:7" x14ac:dyDescent="0.3">
      <c r="A86">
        <v>64</v>
      </c>
      <c r="B86">
        <v>77733</v>
      </c>
      <c r="C86">
        <v>33</v>
      </c>
      <c r="D86">
        <v>2.0833290050482902</v>
      </c>
      <c r="E86">
        <v>13</v>
      </c>
      <c r="F86">
        <f>(Table1[[#This Row],[Salary]]-Answers!$B$2)</f>
        <v>77692.12</v>
      </c>
      <c r="G86">
        <f>(Table1[[#This Row],[X-xbar]]^2)</f>
        <v>6036065510.0943995</v>
      </c>
    </row>
    <row r="87" spans="1:7" x14ac:dyDescent="0.3">
      <c r="A87">
        <v>41</v>
      </c>
      <c r="B87">
        <v>90318</v>
      </c>
      <c r="C87">
        <v>4</v>
      </c>
      <c r="D87">
        <v>2.75588568282254</v>
      </c>
      <c r="E87">
        <v>3</v>
      </c>
      <c r="F87">
        <f>(Table1[[#This Row],[Salary]]-Answers!$B$2)</f>
        <v>90277.119999999995</v>
      </c>
      <c r="G87">
        <f>(Table1[[#This Row],[X-xbar]]^2)</f>
        <v>8149958395.4943991</v>
      </c>
    </row>
    <row r="88" spans="1:7" x14ac:dyDescent="0.3">
      <c r="A88">
        <v>43</v>
      </c>
      <c r="B88">
        <v>179736</v>
      </c>
      <c r="C88">
        <v>33</v>
      </c>
      <c r="D88">
        <v>1.3138255253690601</v>
      </c>
      <c r="E88">
        <v>9</v>
      </c>
      <c r="F88">
        <f>(Table1[[#This Row],[Salary]]-Answers!$B$2)</f>
        <v>179695.12</v>
      </c>
      <c r="G88">
        <f>(Table1[[#This Row],[X-xbar]]^2)</f>
        <v>32290336151.8144</v>
      </c>
    </row>
    <row r="89" spans="1:7" x14ac:dyDescent="0.3">
      <c r="A89">
        <v>42</v>
      </c>
      <c r="B89">
        <v>92172</v>
      </c>
      <c r="C89">
        <v>14</v>
      </c>
      <c r="D89">
        <v>1.10140297366183</v>
      </c>
      <c r="E89">
        <v>17</v>
      </c>
      <c r="F89">
        <f>(Table1[[#This Row],[Salary]]-Answers!$B$2)</f>
        <v>92131.12</v>
      </c>
      <c r="G89">
        <f>(Table1[[#This Row],[X-xbar]]^2)</f>
        <v>8488143272.4543991</v>
      </c>
    </row>
    <row r="90" spans="1:7" x14ac:dyDescent="0.3">
      <c r="A90">
        <v>62</v>
      </c>
      <c r="B90">
        <v>118264</v>
      </c>
      <c r="C90">
        <v>21</v>
      </c>
      <c r="D90">
        <v>4.8505936587117002</v>
      </c>
      <c r="E90">
        <v>17</v>
      </c>
      <c r="F90">
        <f>(Table1[[#This Row],[Salary]]-Answers!$B$2)</f>
        <v>118223.12</v>
      </c>
      <c r="G90">
        <f>(Table1[[#This Row],[X-xbar]]^2)</f>
        <v>13976706102.534399</v>
      </c>
    </row>
    <row r="91" spans="1:7" x14ac:dyDescent="0.3">
      <c r="A91">
        <v>58</v>
      </c>
      <c r="B91">
        <v>51736</v>
      </c>
      <c r="C91">
        <v>48</v>
      </c>
      <c r="D91">
        <v>4.3439204820488202</v>
      </c>
      <c r="E91">
        <v>16</v>
      </c>
      <c r="F91">
        <f>(Table1[[#This Row],[Salary]]-Answers!$B$2)</f>
        <v>51695.12</v>
      </c>
      <c r="G91">
        <f>(Table1[[#This Row],[X-xbar]]^2)</f>
        <v>2672385431.8144002</v>
      </c>
    </row>
    <row r="92" spans="1:7" x14ac:dyDescent="0.3">
      <c r="A92">
        <v>46</v>
      </c>
      <c r="B92">
        <v>137859</v>
      </c>
      <c r="C92">
        <v>20</v>
      </c>
      <c r="D92">
        <v>3.7838968243747901</v>
      </c>
      <c r="E92">
        <v>13</v>
      </c>
      <c r="F92">
        <f>(Table1[[#This Row],[Salary]]-Answers!$B$2)</f>
        <v>137818.12</v>
      </c>
      <c r="G92">
        <f>(Table1[[#This Row],[X-xbar]]^2)</f>
        <v>18993834200.3344</v>
      </c>
    </row>
    <row r="93" spans="1:7" x14ac:dyDescent="0.3">
      <c r="A93">
        <v>32</v>
      </c>
      <c r="B93">
        <v>137181</v>
      </c>
      <c r="C93">
        <v>8</v>
      </c>
      <c r="D93">
        <v>2.6358117776570702</v>
      </c>
      <c r="E93">
        <v>19</v>
      </c>
      <c r="F93">
        <f>(Table1[[#This Row],[Salary]]-Answers!$B$2)</f>
        <v>137140.12</v>
      </c>
      <c r="G93">
        <f>(Table1[[#This Row],[X-xbar]]^2)</f>
        <v>18807412513.614399</v>
      </c>
    </row>
    <row r="94" spans="1:7" x14ac:dyDescent="0.3">
      <c r="A94">
        <v>62</v>
      </c>
      <c r="B94">
        <v>156926</v>
      </c>
      <c r="C94">
        <v>7</v>
      </c>
      <c r="D94">
        <v>1.69317728028338</v>
      </c>
      <c r="E94">
        <v>17</v>
      </c>
      <c r="F94">
        <f>(Table1[[#This Row],[Salary]]-Answers!$B$2)</f>
        <v>156885.12</v>
      </c>
      <c r="G94">
        <f>(Table1[[#This Row],[X-xbar]]^2)</f>
        <v>24612940877.414398</v>
      </c>
    </row>
    <row r="95" spans="1:7" x14ac:dyDescent="0.3">
      <c r="A95">
        <v>18</v>
      </c>
      <c r="B95">
        <v>115084</v>
      </c>
      <c r="C95">
        <v>3</v>
      </c>
      <c r="D95">
        <v>1.62574817068434</v>
      </c>
      <c r="E95">
        <v>4</v>
      </c>
      <c r="F95">
        <f>(Table1[[#This Row],[Salary]]-Answers!$B$2)</f>
        <v>115043.12</v>
      </c>
      <c r="G95">
        <f>(Table1[[#This Row],[X-xbar]]^2)</f>
        <v>13234919459.334398</v>
      </c>
    </row>
    <row r="96" spans="1:7" x14ac:dyDescent="0.3">
      <c r="A96">
        <v>42</v>
      </c>
      <c r="B96">
        <v>32392</v>
      </c>
      <c r="C96">
        <v>17</v>
      </c>
      <c r="D96">
        <v>2.00097159265838</v>
      </c>
      <c r="E96">
        <v>12</v>
      </c>
      <c r="F96">
        <f>(Table1[[#This Row],[Salary]]-Answers!$B$2)</f>
        <v>32351.119999999999</v>
      </c>
      <c r="G96">
        <f>(Table1[[#This Row],[X-xbar]]^2)</f>
        <v>1046594965.2543999</v>
      </c>
    </row>
    <row r="97" spans="1:10" x14ac:dyDescent="0.3">
      <c r="A97">
        <v>24</v>
      </c>
      <c r="B97">
        <v>80680</v>
      </c>
      <c r="C97">
        <v>33</v>
      </c>
      <c r="D97">
        <v>3.1969066588244801</v>
      </c>
      <c r="E97">
        <v>9</v>
      </c>
      <c r="F97">
        <f>(Table1[[#This Row],[Salary]]-Answers!$B$2)</f>
        <v>80639.12</v>
      </c>
      <c r="G97">
        <f>(Table1[[#This Row],[X-xbar]]^2)</f>
        <v>6502667674.3743992</v>
      </c>
    </row>
    <row r="98" spans="1:10" x14ac:dyDescent="0.3">
      <c r="A98">
        <v>26</v>
      </c>
      <c r="B98">
        <v>75859</v>
      </c>
      <c r="C98">
        <v>48</v>
      </c>
      <c r="D98">
        <v>3.85838369080024</v>
      </c>
      <c r="E98">
        <v>19</v>
      </c>
      <c r="F98">
        <f>(Table1[[#This Row],[Salary]]-Answers!$B$2)</f>
        <v>75818.12</v>
      </c>
      <c r="G98">
        <f>(Table1[[#This Row],[X-xbar]]^2)</f>
        <v>5748387320.3343992</v>
      </c>
    </row>
    <row r="99" spans="1:10" x14ac:dyDescent="0.3">
      <c r="A99">
        <v>41</v>
      </c>
      <c r="B99">
        <v>150657</v>
      </c>
      <c r="C99">
        <v>12</v>
      </c>
      <c r="D99">
        <v>3.6407895068709202</v>
      </c>
      <c r="E99">
        <v>12</v>
      </c>
      <c r="F99">
        <f>(Table1[[#This Row],[Salary]]-Answers!$B$2)</f>
        <v>150616.12</v>
      </c>
      <c r="G99">
        <f>(Table1[[#This Row],[X-xbar]]^2)</f>
        <v>22685215603.854397</v>
      </c>
    </row>
    <row r="100" spans="1:10" x14ac:dyDescent="0.3">
      <c r="A100">
        <v>18</v>
      </c>
      <c r="B100">
        <v>95467</v>
      </c>
      <c r="C100">
        <v>22</v>
      </c>
      <c r="D100">
        <v>2.11973558778377</v>
      </c>
      <c r="E100">
        <v>9</v>
      </c>
      <c r="F100">
        <f>(Table1[[#This Row],[Salary]]-Answers!$B$2)</f>
        <v>95426.12</v>
      </c>
      <c r="G100">
        <f>(Table1[[#This Row],[X-xbar]]^2)</f>
        <v>9106144378.2543983</v>
      </c>
    </row>
    <row r="101" spans="1:10" x14ac:dyDescent="0.3">
      <c r="A101">
        <v>61</v>
      </c>
      <c r="B101">
        <v>123506</v>
      </c>
      <c r="C101">
        <v>22</v>
      </c>
      <c r="D101">
        <v>4.8194611226527702</v>
      </c>
      <c r="E101">
        <v>7</v>
      </c>
      <c r="F101">
        <f>(Table1[[#This Row],[Salary]]-Answers!$B$2)</f>
        <v>123465.12</v>
      </c>
      <c r="G101">
        <f>(Table1[[#This Row],[X-xbar]]^2)</f>
        <v>15243635856.614399</v>
      </c>
    </row>
    <row r="104" spans="1:10" x14ac:dyDescent="0.3">
      <c r="F104" t="s">
        <v>14</v>
      </c>
      <c r="G104">
        <f>SUM(Table1[X-xbar^2])</f>
        <v>1389549282200.6809</v>
      </c>
      <c r="I104">
        <f>(G104/100-1)</f>
        <v>13895492821.006809</v>
      </c>
      <c r="J104" t="s">
        <v>10</v>
      </c>
    </row>
    <row r="105" spans="1:10" x14ac:dyDescent="0.3">
      <c r="H105" t="s">
        <v>15</v>
      </c>
      <c r="I105">
        <f>SQRT(I104)</f>
        <v>117879.14497911329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2E40-BBE6-4196-96C5-55C2E594C49C}">
  <dimension ref="A1:H100"/>
  <sheetViews>
    <sheetView tabSelected="1" topLeftCell="A94" workbookViewId="0">
      <selection activeCell="A102" sqref="A102"/>
    </sheetView>
  </sheetViews>
  <sheetFormatPr defaultRowHeight="14.4" x14ac:dyDescent="0.3"/>
  <cols>
    <col min="1" max="1" width="17.21875" customWidth="1"/>
    <col min="2" max="2" width="11" bestFit="1" customWidth="1"/>
    <col min="5" max="5" width="16.21875" bestFit="1" customWidth="1"/>
    <col min="6" max="6" width="13.88671875" bestFit="1" customWidth="1"/>
  </cols>
  <sheetData>
    <row r="1" spans="1:5" x14ac:dyDescent="0.3">
      <c r="A1" s="1" t="s">
        <v>5</v>
      </c>
      <c r="B1" s="1"/>
      <c r="C1" s="1"/>
      <c r="D1" s="1"/>
      <c r="E1" s="1"/>
    </row>
    <row r="2" spans="1:5" x14ac:dyDescent="0.3">
      <c r="A2" t="s">
        <v>6</v>
      </c>
      <c r="B2">
        <f>AVERAGE(Table1[Age])</f>
        <v>40.880000000000003</v>
      </c>
    </row>
    <row r="3" spans="1:5" x14ac:dyDescent="0.3">
      <c r="A3" t="s">
        <v>7</v>
      </c>
      <c r="B3">
        <f>MEDIAN(Table1[Age])</f>
        <v>41</v>
      </c>
    </row>
    <row r="4" spans="1:5" x14ac:dyDescent="0.3">
      <c r="A4" t="s">
        <v>8</v>
      </c>
      <c r="B4">
        <f>MODE(Table1[Age])</f>
        <v>61</v>
      </c>
    </row>
    <row r="6" spans="1:5" x14ac:dyDescent="0.3">
      <c r="A6" s="1" t="s">
        <v>9</v>
      </c>
      <c r="B6" s="1"/>
      <c r="C6" s="1"/>
      <c r="D6" s="1"/>
      <c r="E6" s="1"/>
    </row>
    <row r="7" spans="1:5" x14ac:dyDescent="0.3">
      <c r="A7" t="s">
        <v>10</v>
      </c>
      <c r="B7">
        <f>_xlfn.VAR.S(Table1[Salary])</f>
        <v>1972966392.7372727</v>
      </c>
    </row>
    <row r="8" spans="1:5" x14ac:dyDescent="0.3">
      <c r="A8" t="s">
        <v>11</v>
      </c>
      <c r="B8" s="2">
        <f>_xlfn.STDEV.S(Table1[Salary])</f>
        <v>44418.086324573604</v>
      </c>
    </row>
    <row r="10" spans="1:5" x14ac:dyDescent="0.3">
      <c r="A10" s="1" t="s">
        <v>16</v>
      </c>
      <c r="B10" s="1"/>
      <c r="C10" s="1"/>
      <c r="D10" s="1"/>
    </row>
    <row r="11" spans="1:5" x14ac:dyDescent="0.3">
      <c r="A11">
        <f>SKEW(Table1[Purchase_Count])</f>
        <v>4.8663601904092149E-2</v>
      </c>
      <c r="B11" t="s">
        <v>17</v>
      </c>
    </row>
    <row r="12" spans="1:5" x14ac:dyDescent="0.3">
      <c r="A12">
        <f>KURT(Table1[Purchase_Count])</f>
        <v>-1.055159061973828</v>
      </c>
      <c r="B12" t="s">
        <v>18</v>
      </c>
    </row>
    <row r="14" spans="1:5" x14ac:dyDescent="0.3">
      <c r="A14" s="1" t="s">
        <v>19</v>
      </c>
      <c r="B14" s="1"/>
      <c r="C14" s="1"/>
      <c r="D14" s="1"/>
      <c r="E14" s="1"/>
    </row>
    <row r="15" spans="1:5" x14ac:dyDescent="0.3">
      <c r="A15">
        <f>CORREL(Table1[Salary],Table1[Satisfaction_Score])</f>
        <v>-0.16429646341884679</v>
      </c>
    </row>
    <row r="17" spans="1:7" x14ac:dyDescent="0.3">
      <c r="A17" s="1" t="s">
        <v>20</v>
      </c>
      <c r="B17" s="1"/>
      <c r="C17" s="1"/>
      <c r="D17" s="1"/>
      <c r="E17" s="1"/>
      <c r="F17" s="1"/>
      <c r="G17" s="1"/>
    </row>
    <row r="19" spans="1:7" x14ac:dyDescent="0.3">
      <c r="A19" s="7" t="s">
        <v>26</v>
      </c>
      <c r="B19" s="6" t="s">
        <v>0</v>
      </c>
      <c r="C19" s="6" t="s">
        <v>1</v>
      </c>
      <c r="D19" s="6" t="s">
        <v>2</v>
      </c>
      <c r="E19" s="6" t="s">
        <v>3</v>
      </c>
      <c r="F19" s="6" t="s">
        <v>4</v>
      </c>
    </row>
    <row r="20" spans="1:7" x14ac:dyDescent="0.3">
      <c r="A20" s="4" t="s">
        <v>21</v>
      </c>
      <c r="B20" s="3">
        <f>COUNT(Table1[Age])</f>
        <v>100</v>
      </c>
      <c r="C20" s="3">
        <f>COUNT(Table1[Salary])</f>
        <v>100</v>
      </c>
      <c r="D20" s="3">
        <f>COUNT(Table1[Purchase_Count])</f>
        <v>100</v>
      </c>
      <c r="E20" s="3">
        <f>COUNT(Table1[Satisfaction_Score])</f>
        <v>100</v>
      </c>
      <c r="F20" s="3">
        <f>COUNT(Table1[Purchase_Count])</f>
        <v>100</v>
      </c>
    </row>
    <row r="21" spans="1:7" x14ac:dyDescent="0.3">
      <c r="A21" s="4" t="s">
        <v>22</v>
      </c>
      <c r="B21" s="3">
        <f>AVERAGE(Table1[Age])</f>
        <v>40.880000000000003</v>
      </c>
      <c r="C21" s="3">
        <f>AVERAGE(Table1[Salary])</f>
        <v>109321.51</v>
      </c>
      <c r="D21" s="3">
        <f>AVERAGE(Table1[Purchase_Count])</f>
        <v>24.47</v>
      </c>
      <c r="E21" s="3">
        <f>AVERAGE(Table1[Satisfaction_Score])</f>
        <v>3.135648299226133</v>
      </c>
      <c r="F21" s="3">
        <f>AVERAGE(Table1[Visit_Frequency])</f>
        <v>9.9600000000000009</v>
      </c>
    </row>
    <row r="22" spans="1:7" x14ac:dyDescent="0.3">
      <c r="A22" s="4" t="s">
        <v>23</v>
      </c>
      <c r="B22" s="3">
        <f>_xlfn.STDEV.S(Table1[Age])</f>
        <v>13.990819500766575</v>
      </c>
      <c r="C22" s="3">
        <f>_xlfn.STDEV.S(Table1[Salary])</f>
        <v>44418.086324573604</v>
      </c>
      <c r="D22" s="3">
        <f>_xlfn.STDEV.S(Table1[Purchase_Count])</f>
        <v>13.994555218283137</v>
      </c>
      <c r="E22" s="3">
        <f>_xlfn.STDEV.S(Table1[Satisfaction_Score])</f>
        <v>1.1712801306942608</v>
      </c>
      <c r="F22" s="3">
        <f>_xlfn.STDEV.S(Table1[Visit_Frequency])</f>
        <v>5.8204099269013447</v>
      </c>
    </row>
    <row r="23" spans="1:7" x14ac:dyDescent="0.3">
      <c r="A23" s="4" t="s">
        <v>24</v>
      </c>
      <c r="B23" s="3">
        <f>MIN(Table1[Age])</f>
        <v>18</v>
      </c>
      <c r="C23" s="3">
        <f>MIN(Table1[Salary])</f>
        <v>27693</v>
      </c>
      <c r="D23" s="3">
        <f>MIN(Table1[Purchase_Count])</f>
        <v>1</v>
      </c>
      <c r="E23" s="3">
        <f>MIN(Table1[Satisfaction_Score])</f>
        <v>1.0618264661154599</v>
      </c>
      <c r="F23" s="3">
        <f>MIN(Table1[Visit_Frequency])</f>
        <v>1</v>
      </c>
    </row>
    <row r="24" spans="1:7" x14ac:dyDescent="0.3">
      <c r="A24" s="5">
        <v>0.25</v>
      </c>
      <c r="B24" s="3">
        <f>QUARTILE(Table1[Age],1)</f>
        <v>30.5</v>
      </c>
      <c r="C24" s="3">
        <f>QUARTILE(Table1[Salary],1)</f>
        <v>73576.75</v>
      </c>
      <c r="D24" s="3">
        <f>QUARTILE(Table1[Purchase_Count],1)</f>
        <v>13.5</v>
      </c>
      <c r="E24" s="3">
        <f>QUARTILE(Table1[Satisfaction_Score],1)</f>
        <v>2.1673167849217601</v>
      </c>
      <c r="F24" s="3">
        <f>QUARTILE(Table1[Visit_Frequency],1)</f>
        <v>4.75</v>
      </c>
    </row>
    <row r="25" spans="1:7" x14ac:dyDescent="0.3">
      <c r="A25" s="5">
        <v>0.5</v>
      </c>
      <c r="B25" s="3">
        <f>QUARTILE(Table1[Age],2)</f>
        <v>41</v>
      </c>
      <c r="C25" s="3">
        <f>QUARTILE(Table1[Salary],2)</f>
        <v>118025.5</v>
      </c>
      <c r="D25" s="3">
        <f>QUARTILE(Table1[Purchase_Count],2)</f>
        <v>24</v>
      </c>
      <c r="E25" s="3">
        <f>QUARTILE(Table1[Satisfaction_Score],2)</f>
        <v>3.18374259882739</v>
      </c>
      <c r="F25" s="3">
        <f>QUARTILE(Table1[Visit_Frequency],2)</f>
        <v>10</v>
      </c>
    </row>
    <row r="26" spans="1:7" x14ac:dyDescent="0.3">
      <c r="A26" s="5">
        <v>0.75</v>
      </c>
      <c r="B26" s="3">
        <f>QUARTILE(Table1[Age],3)</f>
        <v>53.25</v>
      </c>
      <c r="C26" s="3">
        <f>QUARTILE(Table1[Salary],3)</f>
        <v>147727.75</v>
      </c>
      <c r="D26" s="3">
        <f>QUARTILE(Table1[Purchase_Count],3)</f>
        <v>35</v>
      </c>
      <c r="E26" s="3">
        <f>QUARTILE(Table1[Satisfaction_Score],3)</f>
        <v>4.1813512537422071</v>
      </c>
      <c r="F26" s="3">
        <f>QUARTILE(Table1[Visit_Frequency],3)</f>
        <v>16</v>
      </c>
    </row>
    <row r="27" spans="1:7" x14ac:dyDescent="0.3">
      <c r="A27" s="4" t="s">
        <v>25</v>
      </c>
      <c r="B27" s="3">
        <f>MAX(Table1[Age])</f>
        <v>64</v>
      </c>
      <c r="C27" s="3">
        <f>MAX(Table1[Salary])</f>
        <v>179736</v>
      </c>
      <c r="D27" s="3">
        <f>MAX(Table1[Purchase_Count])</f>
        <v>49</v>
      </c>
      <c r="E27" s="3">
        <f>MAX(Table1[Satisfaction_Score])</f>
        <v>4.9602154004170496</v>
      </c>
      <c r="F27" s="3">
        <f>MAX(Table1[Visit_Frequency])</f>
        <v>19</v>
      </c>
    </row>
    <row r="29" spans="1:7" x14ac:dyDescent="0.3">
      <c r="A29" s="1" t="s">
        <v>27</v>
      </c>
      <c r="B29" s="1"/>
      <c r="C29" s="1"/>
      <c r="D29" s="1"/>
      <c r="E29" s="1"/>
    </row>
    <row r="45" spans="1:6" x14ac:dyDescent="0.3">
      <c r="A45">
        <f>SKEW(Table1[Visit_Frequency])</f>
        <v>3.7765578908519663E-2</v>
      </c>
      <c r="B45" t="s">
        <v>17</v>
      </c>
    </row>
    <row r="47" spans="1:6" x14ac:dyDescent="0.3">
      <c r="A47" s="1" t="s">
        <v>28</v>
      </c>
      <c r="B47" s="1"/>
      <c r="C47" s="1"/>
      <c r="D47" s="1"/>
      <c r="E47" s="1"/>
      <c r="F47" s="1"/>
    </row>
    <row r="48" spans="1:6" x14ac:dyDescent="0.3">
      <c r="A48">
        <f>QUARTILE(Table1[Satisfaction_Score],1)</f>
        <v>2.1673167849217601</v>
      </c>
      <c r="B48" t="s">
        <v>29</v>
      </c>
    </row>
    <row r="49" spans="1:2" x14ac:dyDescent="0.3">
      <c r="A49">
        <f>QUARTILE(Table1[Satisfaction_Score],2)</f>
        <v>3.18374259882739</v>
      </c>
      <c r="B49" t="s">
        <v>30</v>
      </c>
    </row>
    <row r="50" spans="1:2" x14ac:dyDescent="0.3">
      <c r="A50">
        <f>QUARTILE(Table1[Satisfaction_Score],3)</f>
        <v>4.1813512537422071</v>
      </c>
      <c r="B50" t="s">
        <v>31</v>
      </c>
    </row>
    <row r="51" spans="1:2" x14ac:dyDescent="0.3">
      <c r="A51">
        <f>(A50-A48)</f>
        <v>2.014034468820447</v>
      </c>
      <c r="B51" t="s">
        <v>32</v>
      </c>
    </row>
    <row r="66" spans="1:8" x14ac:dyDescent="0.3">
      <c r="A66" s="1" t="s">
        <v>33</v>
      </c>
      <c r="B66" s="1"/>
      <c r="C66" s="1"/>
    </row>
    <row r="67" spans="1:8" x14ac:dyDescent="0.3">
      <c r="A67">
        <f>(C22/C21)*100</f>
        <v>40.630692280570955</v>
      </c>
    </row>
    <row r="69" spans="1:8" x14ac:dyDescent="0.3">
      <c r="A69" s="1" t="s">
        <v>34</v>
      </c>
      <c r="B69" s="1"/>
      <c r="C69" s="1"/>
      <c r="D69" s="1"/>
    </row>
    <row r="70" spans="1:8" x14ac:dyDescent="0.3">
      <c r="A70">
        <f>(D26-D24)</f>
        <v>21.5</v>
      </c>
    </row>
    <row r="72" spans="1:8" ht="15" thickBot="1" x14ac:dyDescent="0.35">
      <c r="A72" s="1" t="s">
        <v>35</v>
      </c>
      <c r="B72" s="1"/>
      <c r="C72" s="1"/>
      <c r="D72" s="1"/>
      <c r="E72" s="1"/>
    </row>
    <row r="73" spans="1:8" x14ac:dyDescent="0.3">
      <c r="A73" s="9"/>
      <c r="B73" s="9" t="s">
        <v>0</v>
      </c>
      <c r="C73" s="9" t="s">
        <v>1</v>
      </c>
      <c r="D73" s="9" t="s">
        <v>2</v>
      </c>
      <c r="E73" s="9" t="s">
        <v>3</v>
      </c>
      <c r="F73" s="9" t="s">
        <v>4</v>
      </c>
      <c r="G73" s="9" t="s">
        <v>12</v>
      </c>
      <c r="H73" s="9" t="s">
        <v>13</v>
      </c>
    </row>
    <row r="74" spans="1:8" x14ac:dyDescent="0.3">
      <c r="A74" t="s">
        <v>0</v>
      </c>
      <c r="B74">
        <v>1</v>
      </c>
    </row>
    <row r="75" spans="1:8" x14ac:dyDescent="0.3">
      <c r="A75" t="s">
        <v>1</v>
      </c>
      <c r="B75">
        <v>-1.76583580121575E-2</v>
      </c>
      <c r="C75">
        <v>1</v>
      </c>
    </row>
    <row r="76" spans="1:8" x14ac:dyDescent="0.3">
      <c r="A76" t="s">
        <v>2</v>
      </c>
      <c r="B76">
        <v>6.1269927716477567E-2</v>
      </c>
      <c r="C76">
        <v>-1.5562351235101841E-3</v>
      </c>
      <c r="D76">
        <v>1</v>
      </c>
    </row>
    <row r="77" spans="1:8" x14ac:dyDescent="0.3">
      <c r="A77" t="s">
        <v>3</v>
      </c>
      <c r="B77">
        <v>-0.10558671521325771</v>
      </c>
      <c r="C77">
        <v>-0.16429646341884679</v>
      </c>
      <c r="D77">
        <v>2.4925181823867867E-2</v>
      </c>
      <c r="E77">
        <v>1</v>
      </c>
    </row>
    <row r="78" spans="1:8" x14ac:dyDescent="0.3">
      <c r="A78" t="s">
        <v>4</v>
      </c>
      <c r="B78">
        <v>-1.2339678809961185E-2</v>
      </c>
      <c r="C78">
        <v>-7.8238758975678377E-2</v>
      </c>
      <c r="D78">
        <v>-0.16184622628463602</v>
      </c>
      <c r="E78">
        <v>8.8200793739324865E-2</v>
      </c>
      <c r="F78">
        <v>1</v>
      </c>
    </row>
    <row r="79" spans="1:8" x14ac:dyDescent="0.3">
      <c r="A79" t="s">
        <v>12</v>
      </c>
      <c r="B79">
        <v>-1.7658358012157538E-2</v>
      </c>
      <c r="C79">
        <v>1</v>
      </c>
      <c r="D79">
        <v>-1.5562351235101335E-3</v>
      </c>
      <c r="E79">
        <v>-0.16429646341884668</v>
      </c>
      <c r="F79">
        <v>-7.8238758975678391E-2</v>
      </c>
      <c r="G79">
        <v>1</v>
      </c>
    </row>
    <row r="80" spans="1:8" ht="15" thickBot="1" x14ac:dyDescent="0.35">
      <c r="A80" s="8" t="s">
        <v>13</v>
      </c>
      <c r="B80" s="8">
        <v>-1.2336055657343361E-2</v>
      </c>
      <c r="C80" s="8">
        <v>0.98416931403967667</v>
      </c>
      <c r="D80" s="8">
        <v>2.2589765548853277E-2</v>
      </c>
      <c r="E80" s="8">
        <v>-0.19356008692030341</v>
      </c>
      <c r="F80" s="8">
        <v>-7.8004572690033691E-2</v>
      </c>
      <c r="G80" s="8">
        <v>0.98416931403967622</v>
      </c>
      <c r="H80" s="8">
        <v>1</v>
      </c>
    </row>
    <row r="82" spans="1:6" x14ac:dyDescent="0.3">
      <c r="A82" s="1" t="s">
        <v>36</v>
      </c>
      <c r="B82" s="1"/>
      <c r="C82" s="1"/>
      <c r="D82" s="1"/>
      <c r="E82" s="1"/>
    </row>
    <row r="84" spans="1:6" x14ac:dyDescent="0.3">
      <c r="A84" t="s">
        <v>0</v>
      </c>
      <c r="B84">
        <f>MAX(Table1[Age])-MIN(Table1[Age])</f>
        <v>46</v>
      </c>
    </row>
    <row r="85" spans="1:6" x14ac:dyDescent="0.3">
      <c r="A85" t="s">
        <v>1</v>
      </c>
      <c r="B85">
        <f>MAX(Table1[Salary])-MIN(Table1[Salary])</f>
        <v>152043</v>
      </c>
    </row>
    <row r="87" spans="1:6" x14ac:dyDescent="0.3">
      <c r="A87" s="1" t="s">
        <v>37</v>
      </c>
      <c r="B87" s="1"/>
      <c r="C87" s="1"/>
      <c r="D87" s="1"/>
      <c r="E87" s="1"/>
    </row>
    <row r="89" spans="1:6" x14ac:dyDescent="0.3">
      <c r="A89" s="10"/>
    </row>
    <row r="93" spans="1:6" x14ac:dyDescent="0.3">
      <c r="A93" s="1" t="s">
        <v>38</v>
      </c>
      <c r="B93" s="1"/>
      <c r="C93" s="1"/>
      <c r="D93" s="1"/>
    </row>
    <row r="94" spans="1:6" x14ac:dyDescent="0.3">
      <c r="A94">
        <f>COVAR(Table1[Salary],Table1[Visit_Frequency])</f>
        <v>-20024.909599999999</v>
      </c>
      <c r="B94">
        <f>_xlfn.COVARIANCE.S(Table1[Salary],Table1[Visit_Frequency])</f>
        <v>-20227.181414141414</v>
      </c>
      <c r="C94">
        <f>_xlfn.COVARIANCE.P(Table1[Salary],Table1[Visit_Frequency])</f>
        <v>-20024.909599999999</v>
      </c>
    </row>
    <row r="96" spans="1:6" x14ac:dyDescent="0.3">
      <c r="A96" s="1" t="s">
        <v>39</v>
      </c>
      <c r="B96" s="1"/>
      <c r="C96" s="1"/>
      <c r="D96" s="1"/>
      <c r="E96" s="1"/>
      <c r="F96" s="1"/>
    </row>
    <row r="97" spans="1:6" x14ac:dyDescent="0.3">
      <c r="A97">
        <f>SKEW(Table1[Salary])</f>
        <v>-0.25307872181127566</v>
      </c>
    </row>
    <row r="98" spans="1:6" x14ac:dyDescent="0.3">
      <c r="A98">
        <f>KURT(Table1[Salary])</f>
        <v>-1.2236234886974053</v>
      </c>
    </row>
    <row r="100" spans="1:6" x14ac:dyDescent="0.3">
      <c r="A100" s="1" t="s">
        <v>40</v>
      </c>
      <c r="B100" s="1"/>
      <c r="C100" s="1"/>
      <c r="D100" s="1"/>
      <c r="E100" s="1"/>
      <c r="F100" s="1"/>
    </row>
  </sheetData>
  <conditionalFormatting sqref="A73:H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21BE-6453-400E-A51D-E94F70FBAF70}">
  <dimension ref="A1:J163"/>
  <sheetViews>
    <sheetView topLeftCell="A147" workbookViewId="0">
      <selection activeCell="C158" sqref="C158"/>
    </sheetView>
  </sheetViews>
  <sheetFormatPr defaultRowHeight="14.4" x14ac:dyDescent="0.3"/>
  <cols>
    <col min="1" max="1" width="13.77734375" bestFit="1" customWidth="1"/>
    <col min="2" max="2" width="21.5546875" bestFit="1" customWidth="1"/>
    <col min="3" max="3" width="12.109375" bestFit="1" customWidth="1"/>
    <col min="4" max="4" width="13.5546875" bestFit="1" customWidth="1"/>
  </cols>
  <sheetData>
    <row r="1" spans="1:9" x14ac:dyDescent="0.3">
      <c r="A1" s="1" t="s">
        <v>41</v>
      </c>
      <c r="B1" s="1"/>
      <c r="C1" s="1"/>
      <c r="D1" s="1"/>
      <c r="E1" s="1"/>
      <c r="F1" s="1"/>
      <c r="G1" s="1"/>
      <c r="H1" s="1"/>
      <c r="I1" s="1"/>
    </row>
    <row r="3" spans="1:9" x14ac:dyDescent="0.3">
      <c r="A3" s="11" t="s">
        <v>0</v>
      </c>
      <c r="B3" t="s">
        <v>44</v>
      </c>
    </row>
    <row r="4" spans="1:9" x14ac:dyDescent="0.3">
      <c r="A4" s="12" t="s">
        <v>50</v>
      </c>
      <c r="B4">
        <v>111439.27272727272</v>
      </c>
    </row>
    <row r="5" spans="1:9" x14ac:dyDescent="0.3">
      <c r="A5" s="12" t="s">
        <v>51</v>
      </c>
      <c r="B5">
        <v>106089.42105263157</v>
      </c>
    </row>
    <row r="6" spans="1:9" x14ac:dyDescent="0.3">
      <c r="A6" s="12" t="s">
        <v>52</v>
      </c>
      <c r="B6">
        <v>111880.81481481482</v>
      </c>
    </row>
    <row r="7" spans="1:9" x14ac:dyDescent="0.3">
      <c r="A7" s="12" t="s">
        <v>53</v>
      </c>
      <c r="B7">
        <v>114835.2</v>
      </c>
    </row>
    <row r="8" spans="1:9" x14ac:dyDescent="0.3">
      <c r="A8" s="12" t="s">
        <v>54</v>
      </c>
      <c r="B8">
        <v>101263.41176470589</v>
      </c>
    </row>
    <row r="9" spans="1:9" x14ac:dyDescent="0.3">
      <c r="A9" s="12" t="s">
        <v>43</v>
      </c>
      <c r="B9">
        <v>109321.51</v>
      </c>
    </row>
    <row r="12" spans="1:9" x14ac:dyDescent="0.3">
      <c r="A12" s="1" t="s">
        <v>45</v>
      </c>
      <c r="B12" s="1"/>
      <c r="C12" s="1"/>
      <c r="D12" s="1"/>
      <c r="E12" s="1"/>
      <c r="F12" s="1"/>
    </row>
    <row r="14" spans="1:9" x14ac:dyDescent="0.3">
      <c r="A14" s="11" t="s">
        <v>49</v>
      </c>
      <c r="B14" t="s">
        <v>46</v>
      </c>
    </row>
    <row r="15" spans="1:9" x14ac:dyDescent="0.3">
      <c r="A15" s="12">
        <v>1.0618264661154599</v>
      </c>
      <c r="B15">
        <v>26</v>
      </c>
    </row>
    <row r="16" spans="1:9" x14ac:dyDescent="0.3">
      <c r="A16" s="12">
        <v>1.09726386572581</v>
      </c>
      <c r="B16">
        <v>6</v>
      </c>
    </row>
    <row r="17" spans="1:2" x14ac:dyDescent="0.3">
      <c r="A17" s="12">
        <v>1.10140297366183</v>
      </c>
      <c r="B17">
        <v>14</v>
      </c>
    </row>
    <row r="18" spans="1:2" x14ac:dyDescent="0.3">
      <c r="A18" s="12">
        <v>1.1220009997561899</v>
      </c>
      <c r="B18">
        <v>8</v>
      </c>
    </row>
    <row r="19" spans="1:2" x14ac:dyDescent="0.3">
      <c r="A19" s="12">
        <v>1.1437690951869599</v>
      </c>
      <c r="B19">
        <v>24</v>
      </c>
    </row>
    <row r="20" spans="1:2" x14ac:dyDescent="0.3">
      <c r="A20" s="12">
        <v>1.1493927549968499</v>
      </c>
      <c r="B20">
        <v>36</v>
      </c>
    </row>
    <row r="21" spans="1:2" x14ac:dyDescent="0.3">
      <c r="A21" s="12">
        <v>1.2067268846744299</v>
      </c>
      <c r="B21">
        <v>29</v>
      </c>
    </row>
    <row r="22" spans="1:2" x14ac:dyDescent="0.3">
      <c r="A22" s="12">
        <v>1.3138255253690601</v>
      </c>
      <c r="B22">
        <v>33</v>
      </c>
    </row>
    <row r="23" spans="1:2" x14ac:dyDescent="0.3">
      <c r="A23" s="12">
        <v>1.34138985997507</v>
      </c>
      <c r="B23">
        <v>25</v>
      </c>
    </row>
    <row r="24" spans="1:2" x14ac:dyDescent="0.3">
      <c r="A24" s="12">
        <v>1.37592775936347</v>
      </c>
      <c r="B24">
        <v>3</v>
      </c>
    </row>
    <row r="25" spans="1:2" x14ac:dyDescent="0.3">
      <c r="A25" s="12">
        <v>1.3887059750830699</v>
      </c>
      <c r="B25">
        <v>25</v>
      </c>
    </row>
    <row r="26" spans="1:2" x14ac:dyDescent="0.3">
      <c r="A26" s="12">
        <v>1.50824205060753</v>
      </c>
      <c r="B26">
        <v>20</v>
      </c>
    </row>
    <row r="27" spans="1:2" x14ac:dyDescent="0.3">
      <c r="A27" s="12">
        <v>1.5603360609460899</v>
      </c>
      <c r="B27">
        <v>30</v>
      </c>
    </row>
    <row r="28" spans="1:2" x14ac:dyDescent="0.3">
      <c r="A28" s="12">
        <v>1.62574817068434</v>
      </c>
      <c r="B28">
        <v>3</v>
      </c>
    </row>
    <row r="29" spans="1:2" x14ac:dyDescent="0.3">
      <c r="A29" s="12">
        <v>1.67797098674437</v>
      </c>
      <c r="B29">
        <v>18</v>
      </c>
    </row>
    <row r="30" spans="1:2" x14ac:dyDescent="0.3">
      <c r="A30" s="12">
        <v>1.69317728028338</v>
      </c>
      <c r="B30">
        <v>7</v>
      </c>
    </row>
    <row r="31" spans="1:2" x14ac:dyDescent="0.3">
      <c r="A31" s="12">
        <v>1.70844271762819</v>
      </c>
      <c r="B31">
        <v>29</v>
      </c>
    </row>
    <row r="32" spans="1:2" x14ac:dyDescent="0.3">
      <c r="A32" s="12">
        <v>1.78097195119217</v>
      </c>
      <c r="B32">
        <v>16</v>
      </c>
    </row>
    <row r="33" spans="1:2" x14ac:dyDescent="0.3">
      <c r="A33" s="12">
        <v>1.86328410998737</v>
      </c>
      <c r="B33">
        <v>25</v>
      </c>
    </row>
    <row r="34" spans="1:2" x14ac:dyDescent="0.3">
      <c r="A34" s="12">
        <v>1.9759585735163301</v>
      </c>
      <c r="B34">
        <v>17</v>
      </c>
    </row>
    <row r="35" spans="1:2" x14ac:dyDescent="0.3">
      <c r="A35" s="12">
        <v>2.00097159265838</v>
      </c>
      <c r="B35">
        <v>17</v>
      </c>
    </row>
    <row r="36" spans="1:2" x14ac:dyDescent="0.3">
      <c r="A36" s="12">
        <v>2.0833290050482902</v>
      </c>
      <c r="B36">
        <v>33</v>
      </c>
    </row>
    <row r="37" spans="1:2" x14ac:dyDescent="0.3">
      <c r="A37" s="12">
        <v>2.11973558778377</v>
      </c>
      <c r="B37">
        <v>22</v>
      </c>
    </row>
    <row r="38" spans="1:2" x14ac:dyDescent="0.3">
      <c r="A38" s="12">
        <v>2.1230894497634201</v>
      </c>
      <c r="B38">
        <v>9</v>
      </c>
    </row>
    <row r="39" spans="1:2" x14ac:dyDescent="0.3">
      <c r="A39" s="12">
        <v>2.1461650085131301</v>
      </c>
      <c r="B39">
        <v>11</v>
      </c>
    </row>
    <row r="40" spans="1:2" x14ac:dyDescent="0.3">
      <c r="A40" s="12">
        <v>2.1743673770579699</v>
      </c>
      <c r="B40">
        <v>49</v>
      </c>
    </row>
    <row r="41" spans="1:2" x14ac:dyDescent="0.3">
      <c r="A41" s="12">
        <v>2.1777955682783401</v>
      </c>
      <c r="B41">
        <v>41</v>
      </c>
    </row>
    <row r="42" spans="1:2" x14ac:dyDescent="0.3">
      <c r="A42" s="12">
        <v>2.2676880206251102</v>
      </c>
      <c r="B42">
        <v>39</v>
      </c>
    </row>
    <row r="43" spans="1:2" x14ac:dyDescent="0.3">
      <c r="A43" s="12">
        <v>2.2918258917649799</v>
      </c>
      <c r="B43">
        <v>41</v>
      </c>
    </row>
    <row r="44" spans="1:2" x14ac:dyDescent="0.3">
      <c r="A44" s="12">
        <v>2.3519806274061401</v>
      </c>
      <c r="B44">
        <v>48</v>
      </c>
    </row>
    <row r="45" spans="1:2" x14ac:dyDescent="0.3">
      <c r="A45" s="12">
        <v>2.4379646048790198</v>
      </c>
      <c r="B45">
        <v>48</v>
      </c>
    </row>
    <row r="46" spans="1:2" x14ac:dyDescent="0.3">
      <c r="A46" s="12">
        <v>2.4407625656450498</v>
      </c>
      <c r="B46">
        <v>40</v>
      </c>
    </row>
    <row r="47" spans="1:2" x14ac:dyDescent="0.3">
      <c r="A47" s="12">
        <v>2.48063480102177</v>
      </c>
      <c r="B47">
        <v>19</v>
      </c>
    </row>
    <row r="48" spans="1:2" x14ac:dyDescent="0.3">
      <c r="A48" s="12">
        <v>2.5023318105597698</v>
      </c>
      <c r="B48">
        <v>16</v>
      </c>
    </row>
    <row r="49" spans="1:2" x14ac:dyDescent="0.3">
      <c r="A49" s="12">
        <v>2.5403909144077002</v>
      </c>
      <c r="B49">
        <v>33</v>
      </c>
    </row>
    <row r="50" spans="1:2" x14ac:dyDescent="0.3">
      <c r="A50" s="12">
        <v>2.5723908986670398</v>
      </c>
      <c r="B50">
        <v>24</v>
      </c>
    </row>
    <row r="51" spans="1:2" x14ac:dyDescent="0.3">
      <c r="A51" s="12">
        <v>2.6358117776570702</v>
      </c>
      <c r="B51">
        <v>8</v>
      </c>
    </row>
    <row r="52" spans="1:2" x14ac:dyDescent="0.3">
      <c r="A52" s="12">
        <v>2.7127365932692502</v>
      </c>
      <c r="B52">
        <v>19</v>
      </c>
    </row>
    <row r="53" spans="1:2" x14ac:dyDescent="0.3">
      <c r="A53" s="12">
        <v>2.75588568282254</v>
      </c>
      <c r="B53">
        <v>4</v>
      </c>
    </row>
    <row r="54" spans="1:2" x14ac:dyDescent="0.3">
      <c r="A54" s="12">
        <v>2.8623920725298402</v>
      </c>
      <c r="B54">
        <v>33</v>
      </c>
    </row>
    <row r="55" spans="1:2" x14ac:dyDescent="0.3">
      <c r="A55" s="12">
        <v>2.9700707752754498</v>
      </c>
      <c r="B55">
        <v>48</v>
      </c>
    </row>
    <row r="56" spans="1:2" x14ac:dyDescent="0.3">
      <c r="A56" s="12">
        <v>3.00606517874879</v>
      </c>
      <c r="B56">
        <v>37</v>
      </c>
    </row>
    <row r="57" spans="1:2" x14ac:dyDescent="0.3">
      <c r="A57" s="12">
        <v>3.01054837242076</v>
      </c>
      <c r="B57">
        <v>22</v>
      </c>
    </row>
    <row r="58" spans="1:2" x14ac:dyDescent="0.3">
      <c r="A58" s="12">
        <v>3.0453695954437499</v>
      </c>
      <c r="B58">
        <v>5</v>
      </c>
    </row>
    <row r="59" spans="1:2" x14ac:dyDescent="0.3">
      <c r="A59" s="12">
        <v>3.0652013932047799</v>
      </c>
      <c r="B59">
        <v>16</v>
      </c>
    </row>
    <row r="60" spans="1:2" x14ac:dyDescent="0.3">
      <c r="A60" s="12">
        <v>3.0733186094549398</v>
      </c>
      <c r="B60">
        <v>42</v>
      </c>
    </row>
    <row r="61" spans="1:2" x14ac:dyDescent="0.3">
      <c r="A61" s="12">
        <v>3.0889730402192099</v>
      </c>
      <c r="B61">
        <v>35</v>
      </c>
    </row>
    <row r="62" spans="1:2" x14ac:dyDescent="0.3">
      <c r="A62" s="12">
        <v>3.1254185262725902</v>
      </c>
      <c r="B62">
        <v>18</v>
      </c>
    </row>
    <row r="63" spans="1:2" x14ac:dyDescent="0.3">
      <c r="A63" s="12">
        <v>3.1625404864404199</v>
      </c>
      <c r="B63">
        <v>46</v>
      </c>
    </row>
    <row r="64" spans="1:2" x14ac:dyDescent="0.3">
      <c r="A64" s="12">
        <v>3.1705785388302998</v>
      </c>
      <c r="B64">
        <v>24</v>
      </c>
    </row>
    <row r="65" spans="1:2" x14ac:dyDescent="0.3">
      <c r="A65" s="12">
        <v>3.1969066588244801</v>
      </c>
      <c r="B65">
        <v>33</v>
      </c>
    </row>
    <row r="66" spans="1:2" x14ac:dyDescent="0.3">
      <c r="A66" s="12">
        <v>3.2272050498334002</v>
      </c>
      <c r="B66">
        <v>40</v>
      </c>
    </row>
    <row r="67" spans="1:2" x14ac:dyDescent="0.3">
      <c r="A67" s="12">
        <v>3.2802446803574599</v>
      </c>
      <c r="B67">
        <v>28</v>
      </c>
    </row>
    <row r="68" spans="1:2" x14ac:dyDescent="0.3">
      <c r="A68" s="12">
        <v>3.3076155385054302</v>
      </c>
      <c r="B68">
        <v>11</v>
      </c>
    </row>
    <row r="69" spans="1:2" x14ac:dyDescent="0.3">
      <c r="A69" s="12">
        <v>3.3131205639846901</v>
      </c>
      <c r="B69">
        <v>20</v>
      </c>
    </row>
    <row r="70" spans="1:2" x14ac:dyDescent="0.3">
      <c r="A70" s="12">
        <v>3.3633330422760399</v>
      </c>
      <c r="B70">
        <v>49</v>
      </c>
    </row>
    <row r="71" spans="1:2" x14ac:dyDescent="0.3">
      <c r="A71" s="12">
        <v>3.4600289067966701</v>
      </c>
      <c r="B71">
        <v>23</v>
      </c>
    </row>
    <row r="72" spans="1:2" x14ac:dyDescent="0.3">
      <c r="A72" s="12">
        <v>3.4915619032760001</v>
      </c>
      <c r="B72">
        <v>35</v>
      </c>
    </row>
    <row r="73" spans="1:2" x14ac:dyDescent="0.3">
      <c r="A73" s="12">
        <v>3.5245545039890498</v>
      </c>
      <c r="B73">
        <v>34</v>
      </c>
    </row>
    <row r="74" spans="1:2" x14ac:dyDescent="0.3">
      <c r="A74" s="12">
        <v>3.54971960599282</v>
      </c>
      <c r="B74">
        <v>18</v>
      </c>
    </row>
    <row r="75" spans="1:2" x14ac:dyDescent="0.3">
      <c r="A75" s="12">
        <v>3.5818891836286699</v>
      </c>
      <c r="B75">
        <v>16</v>
      </c>
    </row>
    <row r="76" spans="1:2" x14ac:dyDescent="0.3">
      <c r="A76" s="12">
        <v>3.5998557231110602</v>
      </c>
      <c r="B76">
        <v>9</v>
      </c>
    </row>
    <row r="77" spans="1:2" x14ac:dyDescent="0.3">
      <c r="A77" s="12">
        <v>3.6407895068709202</v>
      </c>
      <c r="B77">
        <v>12</v>
      </c>
    </row>
    <row r="78" spans="1:2" x14ac:dyDescent="0.3">
      <c r="A78" s="12">
        <v>3.7838968243747901</v>
      </c>
      <c r="B78">
        <v>20</v>
      </c>
    </row>
    <row r="79" spans="1:2" x14ac:dyDescent="0.3">
      <c r="A79" s="12">
        <v>3.7841191866998898</v>
      </c>
      <c r="B79">
        <v>11</v>
      </c>
    </row>
    <row r="80" spans="1:2" x14ac:dyDescent="0.3">
      <c r="A80" s="12">
        <v>3.7880629639810701</v>
      </c>
      <c r="B80">
        <v>16</v>
      </c>
    </row>
    <row r="81" spans="1:2" x14ac:dyDescent="0.3">
      <c r="A81" s="12">
        <v>3.8078675090308098</v>
      </c>
      <c r="B81">
        <v>41</v>
      </c>
    </row>
    <row r="82" spans="1:2" x14ac:dyDescent="0.3">
      <c r="A82" s="12">
        <v>3.80993633594843</v>
      </c>
      <c r="B82">
        <v>26</v>
      </c>
    </row>
    <row r="83" spans="1:2" x14ac:dyDescent="0.3">
      <c r="A83" s="12">
        <v>3.85838369080024</v>
      </c>
      <c r="B83">
        <v>48</v>
      </c>
    </row>
    <row r="84" spans="1:2" x14ac:dyDescent="0.3">
      <c r="A84" s="12">
        <v>3.88980846104602</v>
      </c>
      <c r="B84">
        <v>33</v>
      </c>
    </row>
    <row r="85" spans="1:2" x14ac:dyDescent="0.3">
      <c r="A85" s="12">
        <v>3.90436533489064</v>
      </c>
      <c r="B85">
        <v>2</v>
      </c>
    </row>
    <row r="86" spans="1:2" x14ac:dyDescent="0.3">
      <c r="A86" s="12">
        <v>3.9630744710168102</v>
      </c>
      <c r="B86">
        <v>7</v>
      </c>
    </row>
    <row r="87" spans="1:2" x14ac:dyDescent="0.3">
      <c r="A87" s="12">
        <v>4.0799742123944398</v>
      </c>
      <c r="B87">
        <v>48</v>
      </c>
    </row>
    <row r="88" spans="1:2" x14ac:dyDescent="0.3">
      <c r="A88" s="12">
        <v>4.1792452141665901</v>
      </c>
      <c r="B88">
        <v>6</v>
      </c>
    </row>
    <row r="89" spans="1:2" x14ac:dyDescent="0.3">
      <c r="A89" s="12">
        <v>4.1807447790748098</v>
      </c>
      <c r="B89">
        <v>36</v>
      </c>
    </row>
    <row r="90" spans="1:2" x14ac:dyDescent="0.3">
      <c r="A90" s="12">
        <v>4.1831706777443998</v>
      </c>
      <c r="B90">
        <v>35</v>
      </c>
    </row>
    <row r="91" spans="1:2" x14ac:dyDescent="0.3">
      <c r="A91" s="12">
        <v>4.1931807158670997</v>
      </c>
      <c r="B91">
        <v>32</v>
      </c>
    </row>
    <row r="92" spans="1:2" x14ac:dyDescent="0.3">
      <c r="A92" s="12">
        <v>4.23744462191405</v>
      </c>
      <c r="B92">
        <v>2</v>
      </c>
    </row>
    <row r="93" spans="1:2" x14ac:dyDescent="0.3">
      <c r="A93" s="12">
        <v>4.2404535787167204</v>
      </c>
      <c r="B93">
        <v>1</v>
      </c>
    </row>
    <row r="94" spans="1:2" x14ac:dyDescent="0.3">
      <c r="A94" s="12">
        <v>4.2904022426386303</v>
      </c>
      <c r="B94">
        <v>38</v>
      </c>
    </row>
    <row r="95" spans="1:2" x14ac:dyDescent="0.3">
      <c r="A95" s="12">
        <v>4.3439204820488202</v>
      </c>
      <c r="B95">
        <v>48</v>
      </c>
    </row>
    <row r="96" spans="1:2" x14ac:dyDescent="0.3">
      <c r="A96" s="12">
        <v>4.4045466860674196</v>
      </c>
      <c r="B96">
        <v>40</v>
      </c>
    </row>
    <row r="97" spans="1:2" x14ac:dyDescent="0.3">
      <c r="A97" s="12">
        <v>4.4120378218694398</v>
      </c>
      <c r="B97">
        <v>7</v>
      </c>
    </row>
    <row r="98" spans="1:2" x14ac:dyDescent="0.3">
      <c r="A98" s="12">
        <v>4.4682892743204103</v>
      </c>
      <c r="B98">
        <v>48</v>
      </c>
    </row>
    <row r="99" spans="1:2" x14ac:dyDescent="0.3">
      <c r="A99" s="12">
        <v>4.5094922877118204</v>
      </c>
      <c r="B99">
        <v>35</v>
      </c>
    </row>
    <row r="100" spans="1:2" x14ac:dyDescent="0.3">
      <c r="A100" s="12">
        <v>4.5600213672702603</v>
      </c>
      <c r="B100">
        <v>19</v>
      </c>
    </row>
    <row r="101" spans="1:2" x14ac:dyDescent="0.3">
      <c r="A101" s="12">
        <v>4.5681862207084496</v>
      </c>
      <c r="B101">
        <v>5</v>
      </c>
    </row>
    <row r="102" spans="1:2" x14ac:dyDescent="0.3">
      <c r="A102" s="12">
        <v>4.6529622102258799</v>
      </c>
      <c r="B102">
        <v>12</v>
      </c>
    </row>
    <row r="103" spans="1:2" x14ac:dyDescent="0.3">
      <c r="A103" s="12">
        <v>4.6594575608817896</v>
      </c>
      <c r="B103">
        <v>36</v>
      </c>
    </row>
    <row r="104" spans="1:2" x14ac:dyDescent="0.3">
      <c r="A104" s="12">
        <v>4.7132742503509002</v>
      </c>
      <c r="B104">
        <v>3</v>
      </c>
    </row>
    <row r="105" spans="1:2" x14ac:dyDescent="0.3">
      <c r="A105" s="12">
        <v>4.7446190966431203</v>
      </c>
      <c r="B105">
        <v>1</v>
      </c>
    </row>
    <row r="106" spans="1:2" x14ac:dyDescent="0.3">
      <c r="A106" s="12">
        <v>4.7618343374116501</v>
      </c>
      <c r="B106">
        <v>3</v>
      </c>
    </row>
    <row r="107" spans="1:2" x14ac:dyDescent="0.3">
      <c r="A107" s="12">
        <v>4.8157143080103397</v>
      </c>
      <c r="B107">
        <v>20</v>
      </c>
    </row>
    <row r="108" spans="1:2" x14ac:dyDescent="0.3">
      <c r="A108" s="12">
        <v>4.8194611226527702</v>
      </c>
      <c r="B108">
        <v>22</v>
      </c>
    </row>
    <row r="109" spans="1:2" x14ac:dyDescent="0.3">
      <c r="A109" s="12">
        <v>4.8505936587117002</v>
      </c>
      <c r="B109">
        <v>21</v>
      </c>
    </row>
    <row r="110" spans="1:2" x14ac:dyDescent="0.3">
      <c r="A110" s="12">
        <v>4.8544799083570096</v>
      </c>
      <c r="B110">
        <v>32</v>
      </c>
    </row>
    <row r="111" spans="1:2" x14ac:dyDescent="0.3">
      <c r="A111" s="12">
        <v>4.8666192761746698</v>
      </c>
      <c r="B111">
        <v>20</v>
      </c>
    </row>
    <row r="112" spans="1:2" x14ac:dyDescent="0.3">
      <c r="A112" s="12">
        <v>4.8920422190097801</v>
      </c>
      <c r="B112">
        <v>38</v>
      </c>
    </row>
    <row r="113" spans="1:5" x14ac:dyDescent="0.3">
      <c r="A113" s="12">
        <v>4.90340831785013</v>
      </c>
      <c r="B113">
        <v>35</v>
      </c>
    </row>
    <row r="114" spans="1:5" x14ac:dyDescent="0.3">
      <c r="A114" s="12">
        <v>4.9602154004170496</v>
      </c>
      <c r="B114">
        <v>31</v>
      </c>
    </row>
    <row r="115" spans="1:5" x14ac:dyDescent="0.3">
      <c r="A115" s="12" t="s">
        <v>43</v>
      </c>
      <c r="B115">
        <v>2447</v>
      </c>
    </row>
    <row r="118" spans="1:5" x14ac:dyDescent="0.3">
      <c r="A118" s="1" t="s">
        <v>47</v>
      </c>
      <c r="B118" s="1"/>
      <c r="C118" s="1"/>
      <c r="D118" s="1"/>
      <c r="E118" s="1"/>
    </row>
    <row r="120" spans="1:5" x14ac:dyDescent="0.3">
      <c r="A120" s="11" t="s">
        <v>42</v>
      </c>
      <c r="B120" t="s">
        <v>48</v>
      </c>
    </row>
    <row r="121" spans="1:5" x14ac:dyDescent="0.3">
      <c r="A121" s="12">
        <v>1</v>
      </c>
      <c r="B121">
        <v>6</v>
      </c>
    </row>
    <row r="122" spans="1:5" x14ac:dyDescent="0.3">
      <c r="A122" s="12">
        <v>2</v>
      </c>
      <c r="B122">
        <v>4</v>
      </c>
    </row>
    <row r="123" spans="1:5" x14ac:dyDescent="0.3">
      <c r="A123" s="12">
        <v>3</v>
      </c>
      <c r="B123">
        <v>7</v>
      </c>
    </row>
    <row r="124" spans="1:5" x14ac:dyDescent="0.3">
      <c r="A124" s="12">
        <v>4</v>
      </c>
      <c r="B124">
        <v>8</v>
      </c>
    </row>
    <row r="125" spans="1:5" x14ac:dyDescent="0.3">
      <c r="A125" s="12">
        <v>5</v>
      </c>
      <c r="B125">
        <v>10</v>
      </c>
    </row>
    <row r="126" spans="1:5" x14ac:dyDescent="0.3">
      <c r="A126" s="12">
        <v>7</v>
      </c>
      <c r="B126">
        <v>5</v>
      </c>
    </row>
    <row r="127" spans="1:5" x14ac:dyDescent="0.3">
      <c r="A127" s="12">
        <v>8</v>
      </c>
      <c r="B127">
        <v>2</v>
      </c>
    </row>
    <row r="128" spans="1:5" x14ac:dyDescent="0.3">
      <c r="A128" s="12">
        <v>9</v>
      </c>
      <c r="B128">
        <v>5</v>
      </c>
    </row>
    <row r="129" spans="1:10" x14ac:dyDescent="0.3">
      <c r="A129" s="12">
        <v>10</v>
      </c>
      <c r="B129">
        <v>5</v>
      </c>
    </row>
    <row r="130" spans="1:10" x14ac:dyDescent="0.3">
      <c r="A130" s="12">
        <v>11</v>
      </c>
      <c r="B130">
        <v>3</v>
      </c>
    </row>
    <row r="131" spans="1:10" x14ac:dyDescent="0.3">
      <c r="A131" s="12">
        <v>12</v>
      </c>
      <c r="B131">
        <v>9</v>
      </c>
    </row>
    <row r="132" spans="1:10" x14ac:dyDescent="0.3">
      <c r="A132" s="12">
        <v>13</v>
      </c>
      <c r="B132">
        <v>5</v>
      </c>
    </row>
    <row r="133" spans="1:10" x14ac:dyDescent="0.3">
      <c r="A133" s="12">
        <v>14</v>
      </c>
      <c r="B133">
        <v>3</v>
      </c>
    </row>
    <row r="134" spans="1:10" x14ac:dyDescent="0.3">
      <c r="A134" s="12">
        <v>15</v>
      </c>
      <c r="B134">
        <v>1</v>
      </c>
    </row>
    <row r="135" spans="1:10" x14ac:dyDescent="0.3">
      <c r="A135" s="12">
        <v>16</v>
      </c>
      <c r="B135">
        <v>7</v>
      </c>
    </row>
    <row r="136" spans="1:10" x14ac:dyDescent="0.3">
      <c r="A136" s="12">
        <v>17</v>
      </c>
      <c r="B136">
        <v>9</v>
      </c>
    </row>
    <row r="137" spans="1:10" x14ac:dyDescent="0.3">
      <c r="A137" s="12">
        <v>18</v>
      </c>
      <c r="B137">
        <v>4</v>
      </c>
    </row>
    <row r="138" spans="1:10" x14ac:dyDescent="0.3">
      <c r="A138" s="12">
        <v>19</v>
      </c>
      <c r="B138">
        <v>7</v>
      </c>
    </row>
    <row r="139" spans="1:10" x14ac:dyDescent="0.3">
      <c r="A139" s="12" t="s">
        <v>43</v>
      </c>
      <c r="B139">
        <v>100</v>
      </c>
    </row>
    <row r="141" spans="1:10" x14ac:dyDescent="0.3">
      <c r="A141" s="1" t="s">
        <v>55</v>
      </c>
      <c r="B141" s="1"/>
      <c r="C141" s="1"/>
      <c r="D141" s="1"/>
      <c r="E141" s="1"/>
      <c r="F141" s="1"/>
      <c r="G141" s="1"/>
      <c r="H141" s="1"/>
      <c r="I141" s="1"/>
      <c r="J141" s="1"/>
    </row>
    <row r="143" spans="1:10" x14ac:dyDescent="0.3">
      <c r="A143" s="11" t="s">
        <v>58</v>
      </c>
      <c r="B143" t="s">
        <v>44</v>
      </c>
      <c r="C143" t="s">
        <v>56</v>
      </c>
      <c r="D143" t="s">
        <v>57</v>
      </c>
    </row>
    <row r="144" spans="1:10" x14ac:dyDescent="0.3">
      <c r="A144" s="12" t="s">
        <v>50</v>
      </c>
      <c r="B144">
        <v>111439.27272727272</v>
      </c>
      <c r="C144">
        <v>38986</v>
      </c>
      <c r="D144">
        <v>178371</v>
      </c>
    </row>
    <row r="145" spans="1:10" x14ac:dyDescent="0.3">
      <c r="A145" s="12" t="s">
        <v>51</v>
      </c>
      <c r="B145">
        <v>106089.42105263157</v>
      </c>
      <c r="C145">
        <v>37666</v>
      </c>
      <c r="D145">
        <v>174213</v>
      </c>
    </row>
    <row r="146" spans="1:10" x14ac:dyDescent="0.3">
      <c r="A146" s="12" t="s">
        <v>52</v>
      </c>
      <c r="B146">
        <v>111880.81481481482</v>
      </c>
      <c r="C146">
        <v>32392</v>
      </c>
      <c r="D146">
        <v>179736</v>
      </c>
    </row>
    <row r="147" spans="1:10" x14ac:dyDescent="0.3">
      <c r="A147" s="12" t="s">
        <v>53</v>
      </c>
      <c r="B147">
        <v>114835.2</v>
      </c>
      <c r="C147">
        <v>28748</v>
      </c>
      <c r="D147">
        <v>177906</v>
      </c>
    </row>
    <row r="148" spans="1:10" x14ac:dyDescent="0.3">
      <c r="A148" s="12" t="s">
        <v>54</v>
      </c>
      <c r="B148">
        <v>101263.41176470589</v>
      </c>
      <c r="C148">
        <v>27693</v>
      </c>
      <c r="D148">
        <v>164182</v>
      </c>
    </row>
    <row r="149" spans="1:10" x14ac:dyDescent="0.3">
      <c r="A149" s="12" t="s">
        <v>43</v>
      </c>
      <c r="B149">
        <v>109321.51</v>
      </c>
      <c r="C149">
        <v>27693</v>
      </c>
      <c r="D149">
        <v>179736</v>
      </c>
    </row>
    <row r="152" spans="1:10" x14ac:dyDescent="0.3">
      <c r="A152" s="13" t="s">
        <v>59</v>
      </c>
      <c r="B152" s="1"/>
      <c r="C152" s="1"/>
      <c r="D152" s="1"/>
      <c r="E152" s="1"/>
      <c r="F152" s="1"/>
      <c r="G152" s="1"/>
      <c r="H152" s="1"/>
      <c r="I152" s="1"/>
      <c r="J152" s="1"/>
    </row>
    <row r="154" spans="1:10" x14ac:dyDescent="0.3">
      <c r="A154" s="11" t="s">
        <v>68</v>
      </c>
      <c r="B154" t="s">
        <v>69</v>
      </c>
    </row>
    <row r="155" spans="1:10" x14ac:dyDescent="0.3">
      <c r="A155" s="12" t="s">
        <v>60</v>
      </c>
      <c r="B155">
        <v>218</v>
      </c>
    </row>
    <row r="156" spans="1:10" x14ac:dyDescent="0.3">
      <c r="A156" s="12" t="s">
        <v>61</v>
      </c>
      <c r="B156">
        <v>273</v>
      </c>
    </row>
    <row r="157" spans="1:10" x14ac:dyDescent="0.3">
      <c r="A157" s="12" t="s">
        <v>62</v>
      </c>
      <c r="B157">
        <v>309</v>
      </c>
    </row>
    <row r="158" spans="1:10" x14ac:dyDescent="0.3">
      <c r="A158" s="12" t="s">
        <v>63</v>
      </c>
      <c r="B158">
        <v>272</v>
      </c>
    </row>
    <row r="159" spans="1:10" x14ac:dyDescent="0.3">
      <c r="A159" s="12" t="s">
        <v>64</v>
      </c>
      <c r="B159">
        <v>158</v>
      </c>
    </row>
    <row r="160" spans="1:10" x14ac:dyDescent="0.3">
      <c r="A160" s="12" t="s">
        <v>65</v>
      </c>
      <c r="B160">
        <v>400</v>
      </c>
    </row>
    <row r="161" spans="1:2" x14ac:dyDescent="0.3">
      <c r="A161" s="12" t="s">
        <v>66</v>
      </c>
      <c r="B161">
        <v>463</v>
      </c>
    </row>
    <row r="162" spans="1:2" x14ac:dyDescent="0.3">
      <c r="A162" s="12" t="s">
        <v>67</v>
      </c>
      <c r="B162">
        <v>354</v>
      </c>
    </row>
    <row r="163" spans="1:2" x14ac:dyDescent="0.3">
      <c r="A163" s="12" t="s">
        <v>43</v>
      </c>
      <c r="B163">
        <v>2447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Assignment_Data7 to 10</vt:lpstr>
      <vt:lpstr>Answers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Vadhavan</dc:creator>
  <cp:lastModifiedBy>YASH VADHAVAN</cp:lastModifiedBy>
  <dcterms:created xsi:type="dcterms:W3CDTF">2025-08-20T07:53:29Z</dcterms:created>
  <dcterms:modified xsi:type="dcterms:W3CDTF">2025-08-26T07:44:13Z</dcterms:modified>
</cp:coreProperties>
</file>