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К + ВЫРУЧКА сентябрь" sheetId="1" r:id="rId5"/>
    <sheet state="visible" name="интернет-маркетинг сентябрь" sheetId="2" r:id="rId6"/>
    <sheet state="visible" name="ПРОМО сентябрь" sheetId="3" r:id="rId7"/>
    <sheet state="visible" name="НК + ВЫРУЧКА август" sheetId="4" r:id="rId8"/>
    <sheet state="visible" name="интернет-маркетинг август" sheetId="5" r:id="rId9"/>
    <sheet state="visible" name="ПРОМО август" sheetId="6" r:id="rId10"/>
    <sheet state="visible" name="НК + ВЫРУЧКА июль" sheetId="7" r:id="rId11"/>
    <sheet state="visible" name="интернет-маркетинг июль" sheetId="8" r:id="rId12"/>
    <sheet state="visible" name="ПРОМО июль" sheetId="9" r:id="rId13"/>
    <sheet state="visible" name="НК + ВЫРУЧКА июнь" sheetId="10" r:id="rId14"/>
    <sheet state="visible" name="интернет-маркетинг июнь" sheetId="11" r:id="rId15"/>
    <sheet state="visible" name="НК + ВЫРУЧКА май" sheetId="12" r:id="rId16"/>
    <sheet state="visible" name="интернет-маркетинг май" sheetId="13" r:id="rId17"/>
    <sheet state="visible" name="ПРОМО май" sheetId="14" r:id="rId18"/>
  </sheets>
  <definedNames/>
  <calcPr/>
</workbook>
</file>

<file path=xl/sharedStrings.xml><?xml version="1.0" encoding="utf-8"?>
<sst xmlns="http://schemas.openxmlformats.org/spreadsheetml/2006/main" count="1820" uniqueCount="569">
  <si>
    <t>ВЫРУЧКА ПРЕДПРИЯТИЙ 2025</t>
  </si>
  <si>
    <t>ПРЕДПРИЯТИЕ</t>
  </si>
  <si>
    <t>АВГУСТ ПЛАН</t>
  </si>
  <si>
    <t>АВГУСТ ФАКТ</t>
  </si>
  <si>
    <t>сентябрь ПЛАН</t>
  </si>
  <si>
    <t>СЕНТЯБРЬ ФАКТ</t>
  </si>
  <si>
    <t>% ВЫПОЛНЕНИЯ ПЛАНА АВГУСТ</t>
  </si>
  <si>
    <t>% ВЫПОЛНЕНИЯ ПЛАНА СЕНТЯБРЬ</t>
  </si>
  <si>
    <t>РЫЛЕНКОВА</t>
  </si>
  <si>
    <t>БАГРАТИОНА</t>
  </si>
  <si>
    <t>НОВЫЕ КЛИЕНТЫ 2025</t>
  </si>
  <si>
    <t>СЕНТЯБРЬ ПЛАН</t>
  </si>
  <si>
    <t>ВЫРУЧКИ</t>
  </si>
  <si>
    <t>КОЛИЧЕСТВО ЧЕКОВ</t>
  </si>
  <si>
    <t>СРЕДНИЙ ЧЕК</t>
  </si>
  <si>
    <t>Рыленкова</t>
  </si>
  <si>
    <t>Багратиона</t>
  </si>
  <si>
    <t>Сумма</t>
  </si>
  <si>
    <t>ПН</t>
  </si>
  <si>
    <t>ВТ</t>
  </si>
  <si>
    <t>СР</t>
  </si>
  <si>
    <t>Будни</t>
  </si>
  <si>
    <t>ЧТ</t>
  </si>
  <si>
    <t>Выходные</t>
  </si>
  <si>
    <t>ПТ</t>
  </si>
  <si>
    <t>СБ</t>
  </si>
  <si>
    <t xml:space="preserve">Процент </t>
  </si>
  <si>
    <t>ВС</t>
  </si>
  <si>
    <t>Разница</t>
  </si>
  <si>
    <t>Итого</t>
  </si>
  <si>
    <t>ъ</t>
  </si>
  <si>
    <t>План итого</t>
  </si>
  <si>
    <t>Проценты</t>
  </si>
  <si>
    <t>Средняя</t>
  </si>
  <si>
    <t>ВЫРУЧКА ПРЕДПРИЯТИЙ</t>
  </si>
  <si>
    <t>АВГУСТ 2024 ПЛАН</t>
  </si>
  <si>
    <t>АВГУСТ 2024 ФАКТ</t>
  </si>
  <si>
    <t>АВГУСТ 2025 ПЛАН</t>
  </si>
  <si>
    <t>АВГУСТ 2025 ФАКТ</t>
  </si>
  <si>
    <t>% ВЫПОЛНЕНИЯ ПЛАНА АВГУСТ 2024</t>
  </si>
  <si>
    <t>% ВЫПОЛНЕНИЯ ПЛАНА АВГУСТ 2025</t>
  </si>
  <si>
    <t>план 2024/2025</t>
  </si>
  <si>
    <t>факт 2024/2025</t>
  </si>
  <si>
    <t>НОВЫЕ КЛИЕНТЫ</t>
  </si>
  <si>
    <t>постоянные клиенты</t>
  </si>
  <si>
    <t>СЕНТЯБРЬ 2024</t>
  </si>
  <si>
    <t>СЕНТЯБРЬ 2025</t>
  </si>
  <si>
    <t>Динамика</t>
  </si>
  <si>
    <t>рыленкова</t>
  </si>
  <si>
    <t>багратиона</t>
  </si>
  <si>
    <t>ВЫРУЧКИ 2025</t>
  </si>
  <si>
    <t>ЯНВАРЬ</t>
  </si>
  <si>
    <t>4 229 840,00 ₽</t>
  </si>
  <si>
    <t>8 393 877,00 ₽</t>
  </si>
  <si>
    <t>12 623 717,00 ₽</t>
  </si>
  <si>
    <t>ФЕВРАЛЬ</t>
  </si>
  <si>
    <t>4 168 065,00 ₽</t>
  </si>
  <si>
    <t>7 406 290,00 ₽</t>
  </si>
  <si>
    <t>11 574 355,00 ₽</t>
  </si>
  <si>
    <t>МАРТ</t>
  </si>
  <si>
    <t>4 581 800,00 ₽</t>
  </si>
  <si>
    <t>8 159 340,00 ₽</t>
  </si>
  <si>
    <t>12 741 140,00 ₽</t>
  </si>
  <si>
    <t>АПРЕЛЬ</t>
  </si>
  <si>
    <t>3 879 279,00 ₽</t>
  </si>
  <si>
    <t>7 242 405,00 ₽</t>
  </si>
  <si>
    <t>11 121 684,00 ₽</t>
  </si>
  <si>
    <t>МАЙ</t>
  </si>
  <si>
    <t>4 757 492,00 ₽</t>
  </si>
  <si>
    <t>8 577 656,00 ₽</t>
  </si>
  <si>
    <t>13 335 148,00 ₽</t>
  </si>
  <si>
    <t>ИЮНЬ</t>
  </si>
  <si>
    <t>4 452 951,00 ₽</t>
  </si>
  <si>
    <t>8 108 611,00 ₽</t>
  </si>
  <si>
    <t>12 561 562,00 ₽</t>
  </si>
  <si>
    <t>ИЮЛЬ</t>
  </si>
  <si>
    <t>4 813 057,00 ₽</t>
  </si>
  <si>
    <t>8 404 321,00 ₽</t>
  </si>
  <si>
    <t>13 217 378,00 ₽</t>
  </si>
  <si>
    <t>АВГУСТ</t>
  </si>
  <si>
    <t>4 818 780,00 ₽</t>
  </si>
  <si>
    <t>8 018 161,00 ₽</t>
  </si>
  <si>
    <t>12 836 941,00 ₽</t>
  </si>
  <si>
    <t>СЕНТЯБРЬ</t>
  </si>
  <si>
    <t>4 754 428,00 ₽</t>
  </si>
  <si>
    <t>7 736 870,00 ₽</t>
  </si>
  <si>
    <t>12 491 298,00 ₽</t>
  </si>
  <si>
    <t>Акция</t>
  </si>
  <si>
    <t>Промокод</t>
  </si>
  <si>
    <t>Выполнено заказов Сентябрь</t>
  </si>
  <si>
    <t>Выполнено заказов Август</t>
  </si>
  <si>
    <t>Выполнено заказов ИЮЛЬ</t>
  </si>
  <si>
    <t>Две малеьнкие пиццы при заказе от 1699 руб</t>
  </si>
  <si>
    <t>2пиццы</t>
  </si>
  <si>
    <t xml:space="preserve">Скидка 33% на первый заказ от 1000  руб </t>
  </si>
  <si>
    <t>первый33</t>
  </si>
  <si>
    <t>ПИЦЦА33</t>
  </si>
  <si>
    <t>Подарок за установку приложения</t>
  </si>
  <si>
    <t>000</t>
  </si>
  <si>
    <t>Скидка 50% на среднюю пиццу!</t>
  </si>
  <si>
    <t>0050</t>
  </si>
  <si>
    <t>Скидка 15% на заказы «с собой» АВГУСТ</t>
  </si>
  <si>
    <t>Скидка 20% на заказ</t>
  </si>
  <si>
    <t>чек</t>
  </si>
  <si>
    <t>Третья пицца за 69 рублей!</t>
  </si>
  <si>
    <t>Пицца33</t>
  </si>
  <si>
    <t>-250 рублей при заказе доставки от 1699 рублей!</t>
  </si>
  <si>
    <t>Скидка 15% членам профкома СмолГУ</t>
  </si>
  <si>
    <t>Смол224</t>
  </si>
  <si>
    <t>Скидка 15% при заказе от 999 рублей!</t>
  </si>
  <si>
    <t>M15</t>
  </si>
  <si>
    <t>Скидка 10% при заказе от 749 рублей</t>
  </si>
  <si>
    <t>Скидка 30 % на первый заказ</t>
  </si>
  <si>
    <t>Первый30</t>
  </si>
  <si>
    <t>2 пиццы за 990 в честь дня города!</t>
  </si>
  <si>
    <t>П90</t>
  </si>
  <si>
    <t>Скидка 15% на средние пиццы</t>
  </si>
  <si>
    <t>2 средние пиццы за 750 ВК</t>
  </si>
  <si>
    <t>СЕКРЕТ</t>
  </si>
  <si>
    <t>Маленькая пицца в подарок от 1299 руб.</t>
  </si>
  <si>
    <t>Халява25</t>
  </si>
  <si>
    <t>Пицца или роллы в подарок от 1699 АВГУСТ (1799)</t>
  </si>
  <si>
    <t>25071 (25051)</t>
  </si>
  <si>
    <t>ЧБАК</t>
  </si>
  <si>
    <t>Скидка 20% на две большие пиццы (студент)</t>
  </si>
  <si>
    <t>Филиал</t>
  </si>
  <si>
    <t>Полигон</t>
  </si>
  <si>
    <t>Заказы СЕНТЯБРЬ</t>
  </si>
  <si>
    <t>Выручка СЕНТЯБРЬ</t>
  </si>
  <si>
    <t>Заказы АВГУСТ</t>
  </si>
  <si>
    <t>Выручка АВГУСТ</t>
  </si>
  <si>
    <t>Смоленск: Рыленкова</t>
  </si>
  <si>
    <t>СЕНТяБРЬ</t>
  </si>
  <si>
    <t>499 980</t>
  </si>
  <si>
    <t>Соловьиная Роща</t>
  </si>
  <si>
    <t>304 708</t>
  </si>
  <si>
    <t>Киселевка 2</t>
  </si>
  <si>
    <t>286 665</t>
  </si>
  <si>
    <t>Алтуховка 1</t>
  </si>
  <si>
    <t>219 657</t>
  </si>
  <si>
    <t>мкр.Киселёвка</t>
  </si>
  <si>
    <t>192 252</t>
  </si>
  <si>
    <t>Строителей</t>
  </si>
  <si>
    <t>190 861</t>
  </si>
  <si>
    <t>Миловидово</t>
  </si>
  <si>
    <t>168 446</t>
  </si>
  <si>
    <t>Новосельцы</t>
  </si>
  <si>
    <t>159 986</t>
  </si>
  <si>
    <t>Парк 1100 летия</t>
  </si>
  <si>
    <t>158 211</t>
  </si>
  <si>
    <t>Шолохова 2</t>
  </si>
  <si>
    <t>152 922</t>
  </si>
  <si>
    <t>2-я Киевская</t>
  </si>
  <si>
    <t>132 233</t>
  </si>
  <si>
    <t>Психдиспансер</t>
  </si>
  <si>
    <t>122 696</t>
  </si>
  <si>
    <t>Строителей 2</t>
  </si>
  <si>
    <t>104 245</t>
  </si>
  <si>
    <t>105 098</t>
  </si>
  <si>
    <t>Шолохова</t>
  </si>
  <si>
    <t>101 886</t>
  </si>
  <si>
    <t>Дачная</t>
  </si>
  <si>
    <t>100 461</t>
  </si>
  <si>
    <t>Верхнерославльская</t>
  </si>
  <si>
    <t>94 687</t>
  </si>
  <si>
    <t>Промышленный район 2</t>
  </si>
  <si>
    <t>64 211</t>
  </si>
  <si>
    <t>Ипподромное</t>
  </si>
  <si>
    <t>66 952</t>
  </si>
  <si>
    <t>Южный</t>
  </si>
  <si>
    <t>76 397</t>
  </si>
  <si>
    <t>Парк соловьиная роща</t>
  </si>
  <si>
    <t>67 426</t>
  </si>
  <si>
    <t>Шевченко</t>
  </si>
  <si>
    <t>45 788</t>
  </si>
  <si>
    <t>Брянская</t>
  </si>
  <si>
    <t>34 350</t>
  </si>
  <si>
    <t>Богородицкое</t>
  </si>
  <si>
    <t>40 541</t>
  </si>
  <si>
    <t>Бабушкина</t>
  </si>
  <si>
    <t>48 213</t>
  </si>
  <si>
    <t>Маршала Конева</t>
  </si>
  <si>
    <t>29 937</t>
  </si>
  <si>
    <t>Промзавод</t>
  </si>
  <si>
    <t>65 616</t>
  </si>
  <si>
    <t>Киселёвка</t>
  </si>
  <si>
    <t>35 178</t>
  </si>
  <si>
    <t>Тихвинка 1</t>
  </si>
  <si>
    <t>24 307</t>
  </si>
  <si>
    <t>Загорье</t>
  </si>
  <si>
    <t>17 249</t>
  </si>
  <si>
    <t>Промышленный район 1</t>
  </si>
  <si>
    <t>14 603</t>
  </si>
  <si>
    <t>Досуговское</t>
  </si>
  <si>
    <t>12 703</t>
  </si>
  <si>
    <t>Кристалл</t>
  </si>
  <si>
    <t>13 111</t>
  </si>
  <si>
    <t>Центр Травматологии</t>
  </si>
  <si>
    <t>14 426</t>
  </si>
  <si>
    <t>Одинцово</t>
  </si>
  <si>
    <t>10 896</t>
  </si>
  <si>
    <t>Алтуховка 2</t>
  </si>
  <si>
    <t>5 677</t>
  </si>
  <si>
    <t>ТЭЦ 2</t>
  </si>
  <si>
    <t>2 911</t>
  </si>
  <si>
    <t>Частный сектор</t>
  </si>
  <si>
    <t>Смоленск: Багратиона</t>
  </si>
  <si>
    <t>Багратиона ПФ</t>
  </si>
  <si>
    <t>Оршанская</t>
  </si>
  <si>
    <t>Нормандия-Неман</t>
  </si>
  <si>
    <t>Королевка</t>
  </si>
  <si>
    <t>388 270</t>
  </si>
  <si>
    <t>Кловка</t>
  </si>
  <si>
    <t>Мало-Краснофлотская</t>
  </si>
  <si>
    <t>Заднепровский 1</t>
  </si>
  <si>
    <t>Зои Космодемьянской</t>
  </si>
  <si>
    <t>Тульский переулок</t>
  </si>
  <si>
    <t>Воинов - интернационалистов</t>
  </si>
  <si>
    <t>Неверовского</t>
  </si>
  <si>
    <t>Большая советская 1</t>
  </si>
  <si>
    <t>сквер Памяти</t>
  </si>
  <si>
    <t>Памфилова</t>
  </si>
  <si>
    <t>Автозаводская</t>
  </si>
  <si>
    <t>пл. Победы</t>
  </si>
  <si>
    <t>Печерск</t>
  </si>
  <si>
    <t>Краснинское шоссе</t>
  </si>
  <si>
    <t>Соболева</t>
  </si>
  <si>
    <t>Большая советская 2</t>
  </si>
  <si>
    <t>Рынок</t>
  </si>
  <si>
    <t>Тухачевского</t>
  </si>
  <si>
    <t>Красноармейской Слободы</t>
  </si>
  <si>
    <t>Покровского</t>
  </si>
  <si>
    <t>3-я запольная</t>
  </si>
  <si>
    <t>Заднепровский 2</t>
  </si>
  <si>
    <t>Нахимсона</t>
  </si>
  <si>
    <t>Витебское шоссе</t>
  </si>
  <si>
    <t>Гедеоновка</t>
  </si>
  <si>
    <t>Ясенная/Боровая</t>
  </si>
  <si>
    <t>ЖК Боровая парк</t>
  </si>
  <si>
    <t>Михновка</t>
  </si>
  <si>
    <t>Шейновка</t>
  </si>
  <si>
    <t>Красный Бор</t>
  </si>
  <si>
    <t>Автосалоны</t>
  </si>
  <si>
    <t>Радищева</t>
  </si>
  <si>
    <t>Герцена</t>
  </si>
  <si>
    <t>ГИБДД</t>
  </si>
  <si>
    <t>Коттеджный поселок</t>
  </si>
  <si>
    <t>Авиационный завод</t>
  </si>
  <si>
    <t>Бассейн</t>
  </si>
  <si>
    <t>5 62</t>
  </si>
  <si>
    <t>ХимБаза</t>
  </si>
  <si>
    <t>Магалинща</t>
  </si>
  <si>
    <t>Анастасино</t>
  </si>
  <si>
    <t>Поляна (2)</t>
  </si>
  <si>
    <t>посёлок Серебрянка</t>
  </si>
  <si>
    <t>посёлок Таборная Гора</t>
  </si>
  <si>
    <t>Дачная 2</t>
  </si>
  <si>
    <t>Я. КАРТЫ</t>
  </si>
  <si>
    <t>2гис</t>
  </si>
  <si>
    <t>ВК</t>
  </si>
  <si>
    <t>АВГУСТ К СЕНТЯБРЮ</t>
  </si>
  <si>
    <t>ОХВАТ</t>
  </si>
  <si>
    <t>ПРОСМОТРЫ</t>
  </si>
  <si>
    <t>ЛАЙКИ</t>
  </si>
  <si>
    <t>КОММЕНТАРИИ</t>
  </si>
  <si>
    <t>ПОДПИСЧИКИ</t>
  </si>
  <si>
    <t>ПОДЕЛИЛИСЬ</t>
  </si>
  <si>
    <t>ПОДПИСКИ НА УВЕДОМЛЕНИЯ</t>
  </si>
  <si>
    <t>ПЕРЕХОДЫ ПО КНОПКЕ ДЕЙСТВИЯ</t>
  </si>
  <si>
    <t>ПРИРОСТ ПОДПИСЧИКОВ В МЕСЯЦ</t>
  </si>
  <si>
    <t>ЕПК ПОИСК</t>
  </si>
  <si>
    <t>август</t>
  </si>
  <si>
    <t>сентябрь</t>
  </si>
  <si>
    <t>Показы</t>
  </si>
  <si>
    <t>Клики</t>
  </si>
  <si>
    <t>CTR (%)</t>
  </si>
  <si>
    <t>Расход (руб.)</t>
  </si>
  <si>
    <t>Ср. цена клика (руб.)</t>
  </si>
  <si>
    <t>Глубина (стр.)</t>
  </si>
  <si>
    <t>Конверсия (%)</t>
  </si>
  <si>
    <t>Цена цели (руб.)</t>
  </si>
  <si>
    <t>Конверсии</t>
  </si>
  <si>
    <t>Товарная компания</t>
  </si>
  <si>
    <t>Андроид</t>
  </si>
  <si>
    <t>Август</t>
  </si>
  <si>
    <t>Сентябрь</t>
  </si>
  <si>
    <t>ЕПК Детский ДР</t>
  </si>
  <si>
    <t>IOS</t>
  </si>
  <si>
    <t>промоутеры</t>
  </si>
  <si>
    <t>розыгрыш в вк</t>
  </si>
  <si>
    <t>розыгрыш в тг</t>
  </si>
  <si>
    <t>совместная коллаборация с colizeum</t>
  </si>
  <si>
    <t>ИЮЛЬ ПЛАН</t>
  </si>
  <si>
    <t>ИЮЛЬ ФАКТ</t>
  </si>
  <si>
    <t>% ВЫПОЛНЕНИЯ ПЛАНА ИЮЛЬ</t>
  </si>
  <si>
    <t>АВГУСТ 2024</t>
  </si>
  <si>
    <t>АВГУСТ 2025</t>
  </si>
  <si>
    <t xml:space="preserve">Разница </t>
  </si>
  <si>
    <t xml:space="preserve">ЯНВАРЬ </t>
  </si>
  <si>
    <t xml:space="preserve">ФЕВРАЛЬ </t>
  </si>
  <si>
    <t xml:space="preserve">МАРТ </t>
  </si>
  <si>
    <t>Выполнено заказов АВГУСТ</t>
  </si>
  <si>
    <t>Выполнено заказов ИЮНЬ</t>
  </si>
  <si>
    <t>Заказы ИЮЛЬ</t>
  </si>
  <si>
    <t>Выручка ИЮЛЬ</t>
  </si>
  <si>
    <t>2 402</t>
  </si>
  <si>
    <t>3 389 504</t>
  </si>
  <si>
    <t>100 007</t>
  </si>
  <si>
    <t>141 637</t>
  </si>
  <si>
    <t>202 594</t>
  </si>
  <si>
    <t>3 179</t>
  </si>
  <si>
    <t>34 151</t>
  </si>
  <si>
    <t>31 338</t>
  </si>
  <si>
    <t>57 018</t>
  </si>
  <si>
    <t>56 996</t>
  </si>
  <si>
    <t>72 035</t>
  </si>
  <si>
    <t>20 034</t>
  </si>
  <si>
    <t>7 144</t>
  </si>
  <si>
    <t>82 396</t>
  </si>
  <si>
    <t>15 796</t>
  </si>
  <si>
    <t>239 943</t>
  </si>
  <si>
    <t>6 195</t>
  </si>
  <si>
    <t>54 346</t>
  </si>
  <si>
    <t>161 453</t>
  </si>
  <si>
    <t>185 508</t>
  </si>
  <si>
    <t>162 232</t>
  </si>
  <si>
    <t>9 218</t>
  </si>
  <si>
    <t>153 286</t>
  </si>
  <si>
    <t>50 525</t>
  </si>
  <si>
    <t>37 400</t>
  </si>
  <si>
    <t>17 079</t>
  </si>
  <si>
    <t>62 221</t>
  </si>
  <si>
    <t>89 996</t>
  </si>
  <si>
    <t>483 152</t>
  </si>
  <si>
    <t>278 319</t>
  </si>
  <si>
    <t>141 339</t>
  </si>
  <si>
    <t>95 707</t>
  </si>
  <si>
    <t>17 570</t>
  </si>
  <si>
    <t>7 550</t>
  </si>
  <si>
    <t>8 417</t>
  </si>
  <si>
    <t>3 518</t>
  </si>
  <si>
    <t>22 228</t>
  </si>
  <si>
    <t>82 119</t>
  </si>
  <si>
    <t>121 434</t>
  </si>
  <si>
    <t>74 424</t>
  </si>
  <si>
    <t>5 054 179</t>
  </si>
  <si>
    <t>46 244</t>
  </si>
  <si>
    <t>13 781</t>
  </si>
  <si>
    <t>61 452</t>
  </si>
  <si>
    <t>13 753</t>
  </si>
  <si>
    <t>1 975</t>
  </si>
  <si>
    <t>584 503</t>
  </si>
  <si>
    <t>3 109</t>
  </si>
  <si>
    <t>219 361</t>
  </si>
  <si>
    <t>58 581</t>
  </si>
  <si>
    <t>47 626</t>
  </si>
  <si>
    <t>188 766</t>
  </si>
  <si>
    <t>23 370</t>
  </si>
  <si>
    <t>21 605</t>
  </si>
  <si>
    <t>21 320</t>
  </si>
  <si>
    <t>6 186</t>
  </si>
  <si>
    <t>26 256</t>
  </si>
  <si>
    <t>293 544</t>
  </si>
  <si>
    <t>56 455</t>
  </si>
  <si>
    <t>192 105</t>
  </si>
  <si>
    <t>342 401</t>
  </si>
  <si>
    <t>397 312</t>
  </si>
  <si>
    <t>6 318</t>
  </si>
  <si>
    <t>82 970</t>
  </si>
  <si>
    <t>72 656</t>
  </si>
  <si>
    <t>7 465</t>
  </si>
  <si>
    <t>3 348</t>
  </si>
  <si>
    <t>229 634</t>
  </si>
  <si>
    <t>46 822</t>
  </si>
  <si>
    <t>43 161</t>
  </si>
  <si>
    <t>167 297</t>
  </si>
  <si>
    <t>376 183</t>
  </si>
  <si>
    <t>471 811</t>
  </si>
  <si>
    <t>102 826</t>
  </si>
  <si>
    <t>93 494</t>
  </si>
  <si>
    <t>49 068</t>
  </si>
  <si>
    <t>50 974</t>
  </si>
  <si>
    <t>10 494</t>
  </si>
  <si>
    <t>1 560</t>
  </si>
  <si>
    <t>13 808</t>
  </si>
  <si>
    <t>33 555</t>
  </si>
  <si>
    <t>86 746</t>
  </si>
  <si>
    <t>95 357</t>
  </si>
  <si>
    <t>48 939</t>
  </si>
  <si>
    <t>256 581</t>
  </si>
  <si>
    <t>34 365</t>
  </si>
  <si>
    <t>5 882</t>
  </si>
  <si>
    <t>29 264</t>
  </si>
  <si>
    <t>13 896</t>
  </si>
  <si>
    <t>июль к августу</t>
  </si>
  <si>
    <t>июль</t>
  </si>
  <si>
    <t>июль к августу, %</t>
  </si>
  <si>
    <t>июль к июню, %</t>
  </si>
  <si>
    <t>июнь</t>
  </si>
  <si>
    <t>ИЮНЬ ПЛАН</t>
  </si>
  <si>
    <t>ИЮНЬ ФАКТ</t>
  </si>
  <si>
    <t>% ВЫПОЛНЕНИЯ ПЛАНА ИЮНЬ</t>
  </si>
  <si>
    <t>ИЮЛЬ 2024 ПЛАН</t>
  </si>
  <si>
    <t>ИЮЛЬ 2024 ФАКТ</t>
  </si>
  <si>
    <t>ИЮЛЬ 2025 ПЛАН</t>
  </si>
  <si>
    <t>ИЮЛЬ 2025 ФАКТ</t>
  </si>
  <si>
    <t>% ВЫПОЛНЕНИЯ ПЛАНА ИЮНЬ 2024</t>
  </si>
  <si>
    <t>% ВЫПОЛНЕНИЯ ПЛАНА ИЮНЬ 2025</t>
  </si>
  <si>
    <t>июль 2024</t>
  </si>
  <si>
    <t>Выполнено заказов июль</t>
  </si>
  <si>
    <t>Выполнено заказов июнь</t>
  </si>
  <si>
    <t>Выполнено заказов май</t>
  </si>
  <si>
    <t>Пицца или роллы в подарок от 1699 июль (1799)</t>
  </si>
  <si>
    <t>Скидка 15% на заказы «с собой» июль</t>
  </si>
  <si>
    <t>Заказы ИЮНЬ</t>
  </si>
  <si>
    <t>Выручка ИЮНЬ</t>
  </si>
  <si>
    <t>2 277</t>
  </si>
  <si>
    <t>3 423 849</t>
  </si>
  <si>
    <t>511 240</t>
  </si>
  <si>
    <t>277 592</t>
  </si>
  <si>
    <t>238 087</t>
  </si>
  <si>
    <t>221 717</t>
  </si>
  <si>
    <t>183 222</t>
  </si>
  <si>
    <t>158 815</t>
  </si>
  <si>
    <t>161 701</t>
  </si>
  <si>
    <t>2 286</t>
  </si>
  <si>
    <t>152 561</t>
  </si>
  <si>
    <t>118 450</t>
  </si>
  <si>
    <t>98 731</t>
  </si>
  <si>
    <t>114 973</t>
  </si>
  <si>
    <t>103 184</t>
  </si>
  <si>
    <t>70 463</t>
  </si>
  <si>
    <t>105 676</t>
  </si>
  <si>
    <t>36 842</t>
  </si>
  <si>
    <t>99 580</t>
  </si>
  <si>
    <t>68 566</t>
  </si>
  <si>
    <t>46 501</t>
  </si>
  <si>
    <t>104 181</t>
  </si>
  <si>
    <t>41 761</t>
  </si>
  <si>
    <t>39 990</t>
  </si>
  <si>
    <t>34 570</t>
  </si>
  <si>
    <t>31 484</t>
  </si>
  <si>
    <t>78 169</t>
  </si>
  <si>
    <t>5 412</t>
  </si>
  <si>
    <t>165 816</t>
  </si>
  <si>
    <t>20 204</t>
  </si>
  <si>
    <t>13 520</t>
  </si>
  <si>
    <t>31 353</t>
  </si>
  <si>
    <t>4 521</t>
  </si>
  <si>
    <t>5 060</t>
  </si>
  <si>
    <t>1 949</t>
  </si>
  <si>
    <t>7 874</t>
  </si>
  <si>
    <t>27 346</t>
  </si>
  <si>
    <t>8 211</t>
  </si>
  <si>
    <t>6 566</t>
  </si>
  <si>
    <t>8 260</t>
  </si>
  <si>
    <t>3 254</t>
  </si>
  <si>
    <t>3 593</t>
  </si>
  <si>
    <t>5 354 810</t>
  </si>
  <si>
    <t>30 838</t>
  </si>
  <si>
    <t>11 944</t>
  </si>
  <si>
    <t>58 357</t>
  </si>
  <si>
    <t>24 593</t>
  </si>
  <si>
    <t>2 178</t>
  </si>
  <si>
    <t>602 901</t>
  </si>
  <si>
    <t>213 435</t>
  </si>
  <si>
    <t>107 802</t>
  </si>
  <si>
    <t>46 697</t>
  </si>
  <si>
    <t>278 329</t>
  </si>
  <si>
    <t>22 404</t>
  </si>
  <si>
    <t>22 114</t>
  </si>
  <si>
    <t>27 090</t>
  </si>
  <si>
    <t>3 084</t>
  </si>
  <si>
    <t>29 276</t>
  </si>
  <si>
    <t>282 943</t>
  </si>
  <si>
    <t>39 743</t>
  </si>
  <si>
    <t>216 342</t>
  </si>
  <si>
    <t>352 402</t>
  </si>
  <si>
    <t>466 590</t>
  </si>
  <si>
    <t>11 613</t>
  </si>
  <si>
    <t>67 029</t>
  </si>
  <si>
    <t>37 385</t>
  </si>
  <si>
    <t>19 401</t>
  </si>
  <si>
    <t>243 115</t>
  </si>
  <si>
    <t>24 242</t>
  </si>
  <si>
    <t>55 914</t>
  </si>
  <si>
    <t>204 853</t>
  </si>
  <si>
    <t>406 664</t>
  </si>
  <si>
    <t>478 795</t>
  </si>
  <si>
    <t>132 198</t>
  </si>
  <si>
    <t>85 586</t>
  </si>
  <si>
    <t>60 678</t>
  </si>
  <si>
    <t>36 641</t>
  </si>
  <si>
    <t>11 594</t>
  </si>
  <si>
    <t>13 040</t>
  </si>
  <si>
    <t>27 020</t>
  </si>
  <si>
    <t>27 526</t>
  </si>
  <si>
    <t>81 197</t>
  </si>
  <si>
    <t>114 135</t>
  </si>
  <si>
    <t>56 367</t>
  </si>
  <si>
    <t>225 262</t>
  </si>
  <si>
    <t>32 005</t>
  </si>
  <si>
    <t>3 731</t>
  </si>
  <si>
    <t>31 767</t>
  </si>
  <si>
    <t>21 973</t>
  </si>
  <si>
    <t>июль к июню</t>
  </si>
  <si>
    <t>дата</t>
  </si>
  <si>
    <t>мероприятие</t>
  </si>
  <si>
    <t>что делали</t>
  </si>
  <si>
    <t>результат</t>
  </si>
  <si>
    <t>день семьи</t>
  </si>
  <si>
    <t>раздача листовок, промокодов, хрустики для детей</t>
  </si>
  <si>
    <t>увеличение продаж в выходные</t>
  </si>
  <si>
    <t>МАЙ ПЛАН</t>
  </si>
  <si>
    <t>МАЙ ФАКТ</t>
  </si>
  <si>
    <t>% ВЫПОЛНЕНИЯ ПЛАНА МАЙ</t>
  </si>
  <si>
    <t>% ВЫПОЛНЕНИЯ ПЛАНА АПРЕЛЬ</t>
  </si>
  <si>
    <t xml:space="preserve">% ВЫПОЛНЕНИЯ ПЛАНА МАЙ </t>
  </si>
  <si>
    <t>ИЮНЬ 2024 ПЛАН</t>
  </si>
  <si>
    <t>ИЮНЬ 2024 ФАКТ</t>
  </si>
  <si>
    <t>ИЮНЬ 2025 ПЛАН</t>
  </si>
  <si>
    <t>ИЮНЬ 2025 ФАКТ</t>
  </si>
  <si>
    <t>июнь 2024</t>
  </si>
  <si>
    <t>июнь 2025</t>
  </si>
  <si>
    <t>июнь к маю</t>
  </si>
  <si>
    <t>ЕПК РСЯ</t>
  </si>
  <si>
    <t>май</t>
  </si>
  <si>
    <t>июнь к маю, %</t>
  </si>
  <si>
    <t>стоимость установки (сра), руб</t>
  </si>
  <si>
    <t>Рентабельность</t>
  </si>
  <si>
    <t>Доля рекламных расходов</t>
  </si>
  <si>
    <t>Доход (руб.)</t>
  </si>
  <si>
    <t>Прибыль (руб.)</t>
  </si>
  <si>
    <t>АПРЕЛЬ ПЛАН</t>
  </si>
  <si>
    <t>АПРЕЛЬ ФАКТ</t>
  </si>
  <si>
    <t>МАЙ 2024 ПЛАН</t>
  </si>
  <si>
    <t>МАЙ 2024 ФАКТ</t>
  </si>
  <si>
    <t>МАЙ 2025 ПЛАН</t>
  </si>
  <si>
    <t>МАЙ 2025 ФАКТ</t>
  </si>
  <si>
    <t>% ВЫПОЛНЕНИЯ ПЛАНА МАЙ 2024</t>
  </si>
  <si>
    <t>% ВЫПОЛНЕНИЯ ПЛАНА МАЙ 2025</t>
  </si>
  <si>
    <t>судя по данным из таблицы можно сказать: 1. 9 мая хорошо проявила себя скидка 15% при посещении зала в военной атрибутике. Это дало рекордный прирост по новым клиентам на обоих предприятиях + рекорд выручки за месяц на багратиона. Самая успешная неделя по выручке была в дни выпускных у школьников (19-25 мая). Так же в мае был большой акцент уделен соц сетям: 2 розыгрыша и реклама в сообществах Смоленска. Планы на июнь: минимум 2 раза за месяц выпустить промоутеров, с 9 по 15 июня - выпускные у 11 классов. Закупка рекламы в сообществах смоленска, акцент в группе вк на свои акции, расширение сетей сотрудничества (колизиум, вейп-шоп, химчистка). Возможно, розыгрыши призов в ручном режиме</t>
  </si>
  <si>
    <t>Узнать алгоритм ведения новых клиентов в ук</t>
  </si>
  <si>
    <t>май 2024</t>
  </si>
  <si>
    <t>май 2025</t>
  </si>
  <si>
    <t>Нужна акция под ифонповод выпускные или экзамены. 20 процентов скидка по типу каникулы, экзамены.лето и тп</t>
  </si>
  <si>
    <t xml:space="preserve">Пробовать продвинуться через профкомы </t>
  </si>
  <si>
    <t>показы 2025</t>
  </si>
  <si>
    <t>позиция в выдаче 2025</t>
  </si>
  <si>
    <t>показы 2024</t>
  </si>
  <si>
    <t>позиция в выдаче 2024</t>
  </si>
  <si>
    <t>май к апрелю</t>
  </si>
  <si>
    <t>май к апрелю, %</t>
  </si>
  <si>
    <t>показы</t>
  </si>
  <si>
    <t>клики</t>
  </si>
  <si>
    <t>конверсии</t>
  </si>
  <si>
    <t>ср. цена конверсии</t>
  </si>
  <si>
    <t>доход</t>
  </si>
  <si>
    <t>расход</t>
  </si>
  <si>
    <t>Апрель</t>
  </si>
  <si>
    <t xml:space="preserve">В мае было проведено в вк 2 конкурса. ! розыгрыш призов (морской бой) и 1 коллаборрация с фитнес-центром. Благодаря этим действиям удалось привлечь новых подписчиков (+77% по сравнениею с прошлым месяцем) и поднять активность аудитории. Группа перешагнула планку 9 тыс подписчкиов и повысила свои виральные охваты, благодаря коллаборации. Планы на июнь: 2 розыгрыша в ручном формате, схожие по услвоиям с прошлыми: лайк, подписка, репост, комментарии. Если сохранить такой же темп, то есть вероятность привлечь новую КБ в лице выпускников 11 классов через соц сети. + ищу контакты для коллаборации с колизиум пр. Строителей/кирова, либо же коллаборация с химчисткой. 2гис: по результатам апреля перенастроен поиск, чтобы 80% занимало 1 место именно пиццафабрикка (потенциальная цель). РК я. директа: в июне включилась установка ios + детские праздники. Ожидаемый прирост клиентов +10-20% от общего числа конверсий. </t>
  </si>
  <si>
    <t>Romi 520 процентов</t>
  </si>
  <si>
    <t>мероприятия в ПФ</t>
  </si>
  <si>
    <t>сбермарафон</t>
  </si>
  <si>
    <t>раздача листовок, промокодов, детская вата для детей</t>
  </si>
  <si>
    <t>привлечение клиентов в зал</t>
  </si>
  <si>
    <t>грасс</t>
  </si>
  <si>
    <t xml:space="preserve">рыленкова </t>
  </si>
  <si>
    <t>провели 31.05 2 мероприятия, благодаря которым привлекли новых клиентов в зал. В июне планируем выпустить 2 раза куклы с листовками и запустить в соц сетях рубрику: ответьте на .... вопросов и получите пиццу в подарок. Повысит узнаваемость бренда, проявит заинтересованность к бренду среди тех, кто с ним не знаком. Позволит провести анализ предпочтений аудитории в соотношении пиццафабрика/конкуренты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</si>
</sst>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[$ ₽]"/>
    <numFmt numFmtId="165" formatCode="#,##0.00\ &quot;₽&quot;"/>
    <numFmt numFmtId="166" formatCode="d mmmm"/>
    <numFmt numFmtId="167" formatCode="_-* #,##0.00\ &quot;₽&quot;_-;\-* #,##0.00\ &quot;₽&quot;_-;_-* &quot;-&quot;??\ &quot;₽&quot;_-;_-@"/>
    <numFmt numFmtId="168" formatCode="dd.mm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sz val="11.0"/>
      <color theme="1"/>
      <name val="&quot;Aptos Narrow&quot;"/>
    </font>
    <font>
      <sz val="11.0"/>
      <color theme="1"/>
      <name val="Arial"/>
    </font>
    <font>
      <b/>
      <sz val="43.0"/>
      <color theme="1"/>
      <name val="Arial"/>
      <scheme val="minor"/>
    </font>
    <font>
      <b/>
      <sz val="54.0"/>
      <color theme="1"/>
      <name val="Arial"/>
      <scheme val="minor"/>
    </font>
    <font>
      <color rgb="FFFFFFFF"/>
      <name val="Arial"/>
    </font>
    <font>
      <b/>
      <sz val="50.0"/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28E85"/>
        <bgColor rgb="FFF28E85"/>
      </patternFill>
    </fill>
    <fill>
      <patternFill patternType="solid">
        <fgColor rgb="FFA4CBAF"/>
        <bgColor rgb="FFA4CBAF"/>
      </patternFill>
    </fill>
    <fill>
      <patternFill patternType="solid">
        <fgColor rgb="FF93C47D"/>
        <bgColor rgb="FF93C47D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readingOrder="0" shrinkToFit="0" wrapText="1"/>
    </xf>
    <xf borderId="7" fillId="0" fontId="4" numFmtId="164" xfId="0" applyAlignment="1" applyBorder="1" applyFont="1" applyNumberFormat="1">
      <alignment horizontal="center" readingOrder="0" shrinkToFit="0" wrapText="1"/>
    </xf>
    <xf borderId="7" fillId="2" fontId="4" numFmtId="164" xfId="0" applyAlignment="1" applyBorder="1" applyFill="1" applyFont="1" applyNumberFormat="1">
      <alignment horizontal="center" readingOrder="0" shrinkToFit="0" wrapText="1"/>
    </xf>
    <xf borderId="7" fillId="0" fontId="4" numFmtId="4" xfId="0" applyAlignment="1" applyBorder="1" applyFont="1" applyNumberFormat="1">
      <alignment horizontal="center" shrinkToFit="0" wrapText="1"/>
    </xf>
    <xf borderId="7" fillId="2" fontId="4" numFmtId="4" xfId="0" applyAlignment="1" applyBorder="1" applyFont="1" applyNumberFormat="1">
      <alignment horizontal="center" shrinkToFit="0" wrapText="1"/>
    </xf>
    <xf borderId="7" fillId="3" fontId="4" numFmtId="10" xfId="0" applyAlignment="1" applyBorder="1" applyFill="1" applyFont="1" applyNumberFormat="1">
      <alignment horizontal="center" shrinkToFit="0" wrapText="1"/>
    </xf>
    <xf borderId="7" fillId="4" fontId="4" numFmtId="10" xfId="0" applyAlignment="1" applyBorder="1" applyFill="1" applyFont="1" applyNumberFormat="1">
      <alignment horizontal="center" shrinkToFit="0" wrapText="1"/>
    </xf>
    <xf borderId="0" fillId="0" fontId="1" numFmtId="1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7" fillId="0" fontId="4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7" fillId="0" fontId="4" numFmtId="0" xfId="0" applyAlignment="1" applyBorder="1" applyFont="1">
      <alignment horizontal="center" readingOrder="0"/>
    </xf>
    <xf borderId="7" fillId="4" fontId="4" numFmtId="10" xfId="0" applyAlignment="1" applyBorder="1" applyFont="1" applyNumberFormat="1">
      <alignment horizontal="center"/>
    </xf>
    <xf borderId="7" fillId="0" fontId="1" numFmtId="0" xfId="0" applyBorder="1" applyFont="1"/>
    <xf borderId="7" fillId="5" fontId="1" numFmtId="0" xfId="0" applyBorder="1" applyFill="1" applyFont="1"/>
    <xf borderId="8" fillId="5" fontId="6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0" fillId="0" fontId="1" numFmtId="165" xfId="0" applyFont="1" applyNumberFormat="1"/>
    <xf borderId="7" fillId="0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7" fillId="5" fontId="6" numFmtId="0" xfId="0" applyAlignment="1" applyBorder="1" applyFont="1">
      <alignment horizontal="center" vertical="bottom"/>
    </xf>
    <xf borderId="7" fillId="5" fontId="6" numFmtId="16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7" fillId="5" fontId="6" numFmtId="1" xfId="0" applyAlignment="1" applyBorder="1" applyFont="1" applyNumberFormat="1">
      <alignment horizontal="center" vertical="bottom"/>
    </xf>
    <xf borderId="7" fillId="6" fontId="1" numFmtId="4" xfId="0" applyAlignment="1" applyBorder="1" applyFill="1" applyFont="1" applyNumberFormat="1">
      <alignment horizontal="center" vertical="bottom"/>
    </xf>
    <xf borderId="7" fillId="6" fontId="1" numFmtId="1" xfId="0" applyAlignment="1" applyBorder="1" applyFont="1" applyNumberFormat="1">
      <alignment horizontal="center" vertical="bottom"/>
    </xf>
    <xf borderId="8" fillId="6" fontId="1" numFmtId="4" xfId="0" applyAlignment="1" applyBorder="1" applyFont="1" applyNumberFormat="1">
      <alignment horizontal="center" vertical="bottom"/>
    </xf>
    <xf borderId="0" fillId="5" fontId="1" numFmtId="165" xfId="0" applyAlignment="1" applyFont="1" applyNumberFormat="1">
      <alignment vertical="bottom"/>
    </xf>
    <xf borderId="0" fillId="5" fontId="1" numFmtId="0" xfId="0" applyAlignment="1" applyFont="1">
      <alignment vertical="bottom"/>
    </xf>
    <xf borderId="7" fillId="5" fontId="1" numFmtId="165" xfId="0" applyAlignment="1" applyBorder="1" applyFont="1" applyNumberFormat="1">
      <alignment vertical="bottom"/>
    </xf>
    <xf borderId="7" fillId="5" fontId="6" numFmtId="4" xfId="0" applyAlignment="1" applyBorder="1" applyFont="1" applyNumberFormat="1">
      <alignment horizontal="center" vertical="bottom"/>
    </xf>
    <xf borderId="7" fillId="5" fontId="6" numFmtId="165" xfId="0" applyAlignment="1" applyBorder="1" applyFont="1" applyNumberFormat="1">
      <alignment horizontal="center" vertical="bottom"/>
    </xf>
    <xf borderId="7" fillId="7" fontId="6" numFmtId="0" xfId="0" applyAlignment="1" applyBorder="1" applyFill="1" applyFont="1">
      <alignment horizontal="center" vertical="bottom"/>
    </xf>
    <xf borderId="7" fillId="7" fontId="1" numFmtId="4" xfId="0" applyAlignment="1" applyBorder="1" applyFont="1" applyNumberFormat="1">
      <alignment horizontal="center" vertical="bottom"/>
    </xf>
    <xf borderId="7" fillId="7" fontId="1" numFmtId="1" xfId="0" applyAlignment="1" applyBorder="1" applyFont="1" applyNumberFormat="1">
      <alignment horizontal="center" vertical="bottom"/>
    </xf>
    <xf borderId="8" fillId="7" fontId="1" numFmtId="4" xfId="0" applyAlignment="1" applyBorder="1" applyFont="1" applyNumberFormat="1">
      <alignment horizontal="center" vertical="bottom"/>
    </xf>
    <xf borderId="7" fillId="6" fontId="1" numFmtId="10" xfId="0" applyAlignment="1" applyBorder="1" applyFont="1" applyNumberFormat="1">
      <alignment horizontal="center" vertical="bottom"/>
    </xf>
    <xf borderId="7" fillId="8" fontId="6" numFmtId="1" xfId="0" applyAlignment="1" applyBorder="1" applyFill="1" applyFont="1" applyNumberFormat="1">
      <alignment horizontal="center" vertical="bottom"/>
    </xf>
    <xf borderId="7" fillId="8" fontId="1" numFmtId="4" xfId="0" applyAlignment="1" applyBorder="1" applyFont="1" applyNumberFormat="1">
      <alignment horizontal="center" vertical="bottom"/>
    </xf>
    <xf borderId="8" fillId="8" fontId="1" numFmtId="4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11" fillId="0" fontId="1" numFmtId="10" xfId="0" applyAlignment="1" applyBorder="1" applyFont="1" applyNumberFormat="1">
      <alignment vertical="bottom"/>
    </xf>
    <xf borderId="7" fillId="5" fontId="1" numFmtId="4" xfId="0" applyAlignment="1" applyBorder="1" applyFont="1" applyNumberFormat="1">
      <alignment vertical="bottom"/>
    </xf>
    <xf borderId="7" fillId="5" fontId="6" numFmtId="10" xfId="0" applyAlignment="1" applyBorder="1" applyFont="1" applyNumberFormat="1">
      <alignment horizontal="center" vertical="bottom"/>
    </xf>
    <xf borderId="7" fillId="8" fontId="1" numFmtId="1" xfId="0" applyAlignment="1" applyBorder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7" fillId="6" fontId="1" numFmtId="1" xfId="0" applyAlignment="1" applyBorder="1" applyFont="1" applyNumberFormat="1">
      <alignment vertical="bottom"/>
    </xf>
    <xf borderId="7" fillId="6" fontId="1" numFmtId="4" xfId="0" applyAlignment="1" applyBorder="1" applyFont="1" applyNumberFormat="1">
      <alignment vertical="bottom"/>
    </xf>
    <xf borderId="11" fillId="0" fontId="1" numFmtId="0" xfId="0" applyAlignment="1" applyBorder="1" applyFont="1">
      <alignment vertical="bottom"/>
    </xf>
    <xf borderId="7" fillId="9" fontId="6" numFmtId="10" xfId="0" applyAlignment="1" applyBorder="1" applyFill="1" applyFont="1" applyNumberFormat="1">
      <alignment horizontal="center" vertical="bottom"/>
    </xf>
    <xf borderId="7" fillId="6" fontId="1" numFmtId="10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7" fillId="0" fontId="1" numFmtId="4" xfId="0" applyAlignment="1" applyBorder="1" applyFont="1" applyNumberFormat="1">
      <alignment horizontal="center" vertical="bottom"/>
    </xf>
    <xf borderId="7" fillId="0" fontId="4" numFmtId="10" xfId="0" applyAlignment="1" applyBorder="1" applyFont="1" applyNumberForma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/>
    </xf>
    <xf borderId="7" fillId="0" fontId="1" numFmtId="10" xfId="0" applyAlignment="1" applyBorder="1" applyFont="1" applyNumberFormat="1">
      <alignment horizontal="center"/>
    </xf>
    <xf borderId="8" fillId="5" fontId="6" numFmtId="16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7" fillId="5" fontId="1" numFmtId="16" xfId="0" applyAlignment="1" applyBorder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" xfId="0" applyAlignment="1" applyFont="1" applyNumberFormat="1">
      <alignment horizontal="center" vertical="bottom"/>
    </xf>
    <xf borderId="8" fillId="5" fontId="7" numFmtId="0" xfId="0" applyAlignment="1" applyBorder="1" applyFont="1">
      <alignment horizontal="center" readingOrder="0"/>
    </xf>
    <xf borderId="7" fillId="5" fontId="7" numFmtId="0" xfId="0" applyAlignment="1" applyBorder="1" applyFont="1">
      <alignment horizontal="center"/>
    </xf>
    <xf borderId="7" fillId="5" fontId="7" numFmtId="0" xfId="0" applyAlignment="1" applyBorder="1" applyFont="1">
      <alignment horizontal="center" readingOrder="0"/>
    </xf>
    <xf borderId="7" fillId="10" fontId="7" numFmtId="0" xfId="0" applyAlignment="1" applyBorder="1" applyFill="1" applyFont="1">
      <alignment horizontal="center" readingOrder="0"/>
    </xf>
    <xf borderId="7" fillId="10" fontId="7" numFmtId="10" xfId="0" applyAlignment="1" applyBorder="1" applyFont="1" applyNumberFormat="1">
      <alignment horizontal="center"/>
    </xf>
    <xf borderId="8" fillId="5" fontId="6" numFmtId="0" xfId="0" applyAlignment="1" applyBorder="1" applyFont="1">
      <alignment horizontal="center" readingOrder="0"/>
    </xf>
    <xf borderId="9" fillId="5" fontId="6" numFmtId="0" xfId="0" applyAlignment="1" applyBorder="1" applyFont="1">
      <alignment horizontal="center"/>
    </xf>
    <xf borderId="10" fillId="5" fontId="6" numFmtId="0" xfId="0" applyAlignment="1" applyBorder="1" applyFont="1">
      <alignment horizontal="center"/>
    </xf>
    <xf borderId="7" fillId="5" fontId="6" numFmtId="0" xfId="0" applyAlignment="1" applyBorder="1" applyFont="1">
      <alignment horizontal="center" readingOrder="0" vertical="bottom"/>
    </xf>
    <xf borderId="7" fillId="5" fontId="6" numFmtId="0" xfId="0" applyAlignment="1" applyBorder="1" applyFont="1">
      <alignment readingOrder="0" vertical="bottom"/>
    </xf>
    <xf borderId="7" fillId="5" fontId="1" numFmtId="0" xfId="0" applyAlignment="1" applyBorder="1" applyFont="1">
      <alignment readingOrder="0" vertical="bottom"/>
    </xf>
    <xf borderId="7" fillId="11" fontId="1" numFmtId="164" xfId="0" applyAlignment="1" applyBorder="1" applyFill="1" applyFont="1" applyNumberFormat="1">
      <alignment horizontal="right" readingOrder="0" vertical="bottom"/>
    </xf>
    <xf borderId="7" fillId="0" fontId="1" numFmtId="10" xfId="0" applyAlignment="1" applyBorder="1" applyFont="1" applyNumberFormat="1">
      <alignment vertical="bottom"/>
    </xf>
    <xf borderId="7" fillId="11" fontId="1" numFmtId="164" xfId="0" applyAlignment="1" applyBorder="1" applyFont="1" applyNumberFormat="1">
      <alignment horizontal="right" readingOrder="0" vertical="bottom"/>
    </xf>
    <xf borderId="7" fillId="9" fontId="1" numFmtId="10" xfId="0" applyAlignment="1" applyBorder="1" applyFont="1" applyNumberFormat="1">
      <alignment horizontal="right" readingOrder="0" vertical="bottom"/>
    </xf>
    <xf borderId="7" fillId="12" fontId="1" numFmtId="10" xfId="0" applyAlignment="1" applyBorder="1" applyFill="1" applyFont="1" applyNumberFormat="1">
      <alignment horizontal="right" readingOrder="0" vertical="bottom"/>
    </xf>
    <xf borderId="0" fillId="11" fontId="1" numFmtId="164" xfId="0" applyAlignment="1" applyFont="1" applyNumberFormat="1">
      <alignment horizontal="right" readingOrder="0" vertical="bottom"/>
    </xf>
    <xf borderId="7" fillId="5" fontId="7" numFmtId="0" xfId="0" applyAlignment="1" applyBorder="1" applyFont="1">
      <alignment readingOrder="0"/>
    </xf>
    <xf borderId="7" fillId="11" fontId="7" numFmtId="0" xfId="0" applyAlignment="1" applyBorder="1" applyFont="1">
      <alignment horizontal="right" readingOrder="0"/>
    </xf>
    <xf borderId="7" fillId="9" fontId="7" numFmtId="10" xfId="0" applyAlignment="1" applyBorder="1" applyFont="1" applyNumberFormat="1">
      <alignment readingOrder="0"/>
    </xf>
    <xf borderId="7" fillId="10" fontId="7" numFmtId="0" xfId="0" applyBorder="1" applyFont="1"/>
    <xf borderId="7" fillId="10" fontId="7" numFmtId="0" xfId="0" applyAlignment="1" applyBorder="1" applyFont="1">
      <alignment horizontal="center"/>
    </xf>
    <xf borderId="7" fillId="10" fontId="7" numFmtId="49" xfId="0" applyAlignment="1" applyBorder="1" applyFont="1" applyNumberFormat="1">
      <alignment horizontal="center" readingOrder="0"/>
    </xf>
    <xf borderId="7" fillId="10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7" fillId="5" fontId="8" numFmtId="0" xfId="0" applyAlignment="1" applyBorder="1" applyFont="1">
      <alignment horizontal="center" readingOrder="0" shrinkToFit="0" vertical="bottom" wrapText="0"/>
    </xf>
    <xf borderId="7" fillId="5" fontId="9" numFmtId="0" xfId="0" applyAlignment="1" applyBorder="1" applyFont="1">
      <alignment horizontal="center" readingOrder="0" shrinkToFit="0" vertical="bottom" wrapText="0"/>
    </xf>
    <xf borderId="8" fillId="5" fontId="9" numFmtId="0" xfId="0" applyAlignment="1" applyBorder="1" applyFont="1">
      <alignment horizontal="center" readingOrder="0" shrinkToFit="0" vertical="bottom" wrapText="0"/>
    </xf>
    <xf borderId="12" fillId="5" fontId="8" numFmtId="0" xfId="0" applyAlignment="1" applyBorder="1" applyFont="1">
      <alignment horizontal="center" readingOrder="0" shrinkToFit="0" vertical="center" wrapText="0"/>
    </xf>
    <xf borderId="8" fillId="5" fontId="9" numFmtId="0" xfId="0" applyAlignment="1" applyBorder="1" applyFont="1">
      <alignment horizontal="left" readingOrder="0" shrinkToFit="0" vertical="top" wrapText="0"/>
    </xf>
    <xf borderId="8" fillId="5" fontId="9" numFmtId="3" xfId="0" applyAlignment="1" applyBorder="1" applyFont="1" applyNumberFormat="1">
      <alignment horizontal="center" readingOrder="0" shrinkToFit="0" vertical="bottom" wrapText="0"/>
    </xf>
    <xf borderId="7" fillId="5" fontId="8" numFmtId="0" xfId="0" applyAlignment="1" applyBorder="1" applyFont="1">
      <alignment horizontal="center" shrinkToFit="0" vertical="bottom" wrapText="0"/>
    </xf>
    <xf borderId="8" fillId="5" fontId="8" numFmtId="3" xfId="0" applyAlignment="1" applyBorder="1" applyFont="1" applyNumberFormat="1">
      <alignment horizontal="center" shrinkToFit="0" vertical="bottom" wrapText="0"/>
    </xf>
    <xf borderId="13" fillId="0" fontId="3" numFmtId="0" xfId="0" applyBorder="1" applyFont="1"/>
    <xf borderId="7" fillId="6" fontId="10" numFmtId="0" xfId="0" applyAlignment="1" applyBorder="1" applyFont="1">
      <alignment horizontal="left" readingOrder="0" shrinkToFit="0" vertical="top" wrapText="0"/>
    </xf>
    <xf borderId="7" fillId="6" fontId="11" numFmtId="0" xfId="0" applyAlignment="1" applyBorder="1" applyFont="1">
      <alignment horizontal="center" readingOrder="0" shrinkToFit="0" vertical="bottom" wrapText="0"/>
    </xf>
    <xf borderId="8" fillId="6" fontId="11" numFmtId="3" xfId="0" applyAlignment="1" applyBorder="1" applyFont="1" applyNumberFormat="1">
      <alignment horizontal="center" readingOrder="0" shrinkToFit="0" vertical="bottom" wrapText="0"/>
    </xf>
    <xf borderId="7" fillId="6" fontId="10" numFmtId="0" xfId="0" applyAlignment="1" applyBorder="1" applyFont="1">
      <alignment horizontal="center" shrinkToFit="0" vertical="bottom" wrapText="0"/>
    </xf>
    <xf borderId="8" fillId="6" fontId="10" numFmtId="3" xfId="0" applyAlignment="1" applyBorder="1" applyFont="1" applyNumberFormat="1">
      <alignment horizontal="center" shrinkToFit="0" vertical="bottom" wrapText="0"/>
    </xf>
    <xf borderId="7" fillId="6" fontId="11" numFmtId="0" xfId="0" applyAlignment="1" applyBorder="1" applyFont="1">
      <alignment horizontal="center" shrinkToFit="0" vertical="bottom" wrapText="0"/>
    </xf>
    <xf borderId="8" fillId="6" fontId="10" numFmtId="3" xfId="0" applyAlignment="1" applyBorder="1" applyFont="1" applyNumberFormat="1">
      <alignment horizontal="center" readingOrder="0" shrinkToFit="0" vertical="bottom" wrapText="0"/>
    </xf>
    <xf borderId="7" fillId="6" fontId="10" numFmtId="166" xfId="0" applyAlignment="1" applyBorder="1" applyFont="1" applyNumberFormat="1">
      <alignment horizontal="left" readingOrder="0" shrinkToFit="0" vertical="top" wrapText="0"/>
    </xf>
    <xf borderId="14" fillId="0" fontId="3" numFmtId="0" xfId="0" applyBorder="1" applyFont="1"/>
    <xf borderId="12" fillId="6" fontId="10" numFmtId="0" xfId="0" applyAlignment="1" applyBorder="1" applyFont="1">
      <alignment horizontal="left" readingOrder="0" shrinkToFit="0" vertical="top" wrapText="0"/>
    </xf>
    <xf borderId="12" fillId="6" fontId="11" numFmtId="0" xfId="0" applyAlignment="1" applyBorder="1" applyFont="1">
      <alignment horizontal="center" readingOrder="0" shrinkToFit="0" vertical="bottom" wrapText="0"/>
    </xf>
    <xf borderId="1" fillId="6" fontId="11" numFmtId="3" xfId="0" applyAlignment="1" applyBorder="1" applyFont="1" applyNumberFormat="1">
      <alignment horizontal="center" readingOrder="0" shrinkToFit="0" vertical="bottom" wrapText="0"/>
    </xf>
    <xf borderId="1" fillId="6" fontId="10" numFmtId="3" xfId="0" applyAlignment="1" applyBorder="1" applyFont="1" applyNumberFormat="1">
      <alignment horizontal="center" shrinkToFit="0" vertical="bottom" wrapText="0"/>
    </xf>
    <xf borderId="2" fillId="0" fontId="9" numFmtId="0" xfId="0" applyAlignment="1" applyBorder="1" applyFont="1">
      <alignment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2" fillId="0" fontId="8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right" shrinkToFit="0" vertical="bottom" wrapText="0"/>
    </xf>
    <xf borderId="2" fillId="0" fontId="8" numFmtId="0" xfId="0" applyAlignment="1" applyBorder="1" applyFont="1">
      <alignment horizontal="right" shrinkToFit="0" vertical="bottom" wrapText="0"/>
    </xf>
    <xf borderId="8" fillId="5" fontId="8" numFmtId="0" xfId="0" applyAlignment="1" applyBorder="1" applyFont="1">
      <alignment horizontal="center" readingOrder="0" shrinkToFit="0" vertical="bottom" wrapText="0"/>
    </xf>
    <xf borderId="7" fillId="5" fontId="9" numFmtId="0" xfId="0" applyAlignment="1" applyBorder="1" applyFont="1">
      <alignment horizontal="center" shrinkToFit="0" vertical="bottom" wrapText="0"/>
    </xf>
    <xf borderId="1" fillId="5" fontId="8" numFmtId="0" xfId="0" applyAlignment="1" applyBorder="1" applyFont="1">
      <alignment horizontal="center" readingOrder="0" shrinkToFit="0" vertical="center" wrapText="0"/>
    </xf>
    <xf borderId="7" fillId="13" fontId="8" numFmtId="0" xfId="0" applyAlignment="1" applyBorder="1" applyFill="1" applyFont="1">
      <alignment readingOrder="0" shrinkToFit="0" vertical="top" wrapText="0"/>
    </xf>
    <xf borderId="7" fillId="13" fontId="11" numFmtId="0" xfId="0" applyAlignment="1" applyBorder="1" applyFont="1">
      <alignment horizontal="center" readingOrder="0" shrinkToFit="0" vertical="bottom" wrapText="0"/>
    </xf>
    <xf borderId="7" fillId="13" fontId="11" numFmtId="3" xfId="0" applyAlignment="1" applyBorder="1" applyFont="1" applyNumberFormat="1">
      <alignment horizontal="center" readingOrder="0" shrinkToFit="0" vertical="bottom" wrapText="0"/>
    </xf>
    <xf borderId="7" fillId="13" fontId="11" numFmtId="0" xfId="0" applyAlignment="1" applyBorder="1" applyFont="1">
      <alignment horizontal="center" shrinkToFit="0" vertical="bottom" wrapText="0"/>
    </xf>
    <xf borderId="7" fillId="13" fontId="10" numFmtId="3" xfId="0" applyAlignment="1" applyBorder="1" applyFont="1" applyNumberFormat="1">
      <alignment horizontal="center" shrinkToFit="0" vertical="bottom" wrapText="0"/>
    </xf>
    <xf borderId="11" fillId="0" fontId="3" numFmtId="0" xfId="0" applyBorder="1" applyFont="1"/>
    <xf borderId="7" fillId="13" fontId="10" numFmtId="0" xfId="0" applyAlignment="1" applyBorder="1" applyFont="1">
      <alignment readingOrder="0" shrinkToFit="0" vertical="top" wrapText="0"/>
    </xf>
    <xf borderId="7" fillId="13" fontId="10" numFmtId="0" xfId="0" applyAlignment="1" applyBorder="1" applyFont="1">
      <alignment horizontal="center" shrinkToFit="0" vertical="bottom" wrapText="0"/>
    </xf>
    <xf borderId="7" fillId="13" fontId="11" numFmtId="0" xfId="0" applyAlignment="1" applyBorder="1" applyFont="1">
      <alignment readingOrder="0" shrinkToFit="0" vertical="top" wrapText="0"/>
    </xf>
    <xf borderId="7" fillId="13" fontId="7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7" fillId="0" fontId="1" numFmtId="3" xfId="0" applyAlignment="1" applyBorder="1" applyFont="1" applyNumberFormat="1">
      <alignment horizontal="center" readingOrder="0" vertical="bottom"/>
    </xf>
    <xf borderId="7" fillId="0" fontId="7" numFmtId="3" xfId="0" applyAlignment="1" applyBorder="1" applyFont="1" applyNumberFormat="1">
      <alignment horizontal="center" readingOrder="0"/>
    </xf>
    <xf borderId="7" fillId="14" fontId="4" numFmtId="10" xfId="0" applyAlignment="1" applyBorder="1" applyFill="1" applyFont="1" applyNumberFormat="1">
      <alignment horizontal="center" shrinkToFit="0" wrapText="1"/>
    </xf>
    <xf borderId="7" fillId="0" fontId="7" numFmtId="10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7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7" fillId="3" fontId="4" numFmtId="10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0" fillId="0" fontId="7" numFmtId="0" xfId="0" applyAlignment="1" applyFont="1">
      <alignment readingOrder="0" shrinkToFit="0" vertical="center" wrapText="1"/>
    </xf>
    <xf borderId="7" fillId="0" fontId="4" numFmtId="10" xfId="0" applyAlignment="1" applyBorder="1" applyFont="1" applyNumberFormat="1">
      <alignment horizontal="center"/>
    </xf>
    <xf borderId="12" fillId="0" fontId="4" numFmtId="10" xfId="0" applyAlignment="1" applyBorder="1" applyFont="1" applyNumberFormat="1">
      <alignment horizontal="center"/>
    </xf>
    <xf borderId="2" fillId="0" fontId="4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7" fillId="15" fontId="1" numFmtId="4" xfId="0" applyAlignment="1" applyBorder="1" applyFill="1" applyFont="1" applyNumberFormat="1">
      <alignment horizontal="center" vertical="bottom"/>
    </xf>
    <xf borderId="7" fillId="15" fontId="1" numFmtId="1" xfId="0" applyAlignment="1" applyBorder="1" applyFont="1" applyNumberFormat="1">
      <alignment horizontal="center" vertical="bottom"/>
    </xf>
    <xf borderId="0" fillId="5" fontId="1" numFmtId="4" xfId="0" applyAlignment="1" applyFont="1" applyNumberFormat="1">
      <alignment vertical="bottom"/>
    </xf>
    <xf borderId="0" fillId="5" fontId="1" numFmtId="10" xfId="0" applyAlignment="1" applyFont="1" applyNumberFormat="1">
      <alignment vertical="bottom"/>
    </xf>
    <xf borderId="11" fillId="0" fontId="1" numFmtId="4" xfId="0" applyAlignment="1" applyBorder="1" applyFont="1" applyNumberFormat="1">
      <alignment vertical="bottom"/>
    </xf>
    <xf borderId="7" fillId="8" fontId="6" numFmtId="4" xfId="0" applyAlignment="1" applyBorder="1" applyFont="1" applyNumberFormat="1">
      <alignment horizontal="center" vertical="bottom"/>
    </xf>
    <xf borderId="7" fillId="12" fontId="6" numFmtId="10" xfId="0" applyAlignment="1" applyBorder="1" applyFont="1" applyNumberFormat="1">
      <alignment horizontal="center" vertical="bottom"/>
    </xf>
    <xf borderId="7" fillId="8" fontId="6" numFmtId="0" xfId="0" applyAlignment="1" applyBorder="1" applyFont="1">
      <alignment horizontal="center" vertical="bottom"/>
    </xf>
    <xf borderId="7" fillId="5" fontId="6" numFmtId="0" xfId="0" applyAlignment="1" applyBorder="1" applyFont="1">
      <alignment vertical="bottom"/>
    </xf>
    <xf borderId="7" fillId="11" fontId="1" numFmtId="164" xfId="0" applyAlignment="1" applyBorder="1" applyFont="1" applyNumberFormat="1">
      <alignment horizontal="right" vertical="bottom"/>
    </xf>
    <xf borderId="7" fillId="11" fontId="1" numFmtId="164" xfId="0" applyAlignment="1" applyBorder="1" applyFont="1" applyNumberFormat="1">
      <alignment horizontal="right" vertical="bottom"/>
    </xf>
    <xf borderId="7" fillId="9" fontId="1" numFmtId="10" xfId="0" applyAlignment="1" applyBorder="1" applyFont="1" applyNumberFormat="1">
      <alignment horizontal="right" vertical="bottom"/>
    </xf>
    <xf borderId="7" fillId="12" fontId="1" numFmtId="10" xfId="0" applyAlignment="1" applyBorder="1" applyFont="1" applyNumberFormat="1">
      <alignment horizontal="right" vertical="bottom"/>
    </xf>
    <xf borderId="7" fillId="5" fontId="1" numFmtId="0" xfId="0" applyAlignment="1" applyBorder="1" applyFont="1">
      <alignment vertical="bottom"/>
    </xf>
    <xf borderId="0" fillId="11" fontId="1" numFmtId="164" xfId="0" applyAlignment="1" applyFont="1" applyNumberFormat="1">
      <alignment horizontal="right" vertical="bottom"/>
    </xf>
    <xf borderId="8" fillId="5" fontId="8" numFmtId="0" xfId="0" applyAlignment="1" applyBorder="1" applyFont="1">
      <alignment horizontal="left" readingOrder="0" shrinkToFit="0" vertical="top" wrapText="0"/>
    </xf>
    <xf borderId="7" fillId="5" fontId="8" numFmtId="0" xfId="0" applyAlignment="1" applyBorder="1" applyFont="1">
      <alignment horizontal="center" readingOrder="0" shrinkToFit="0" vertical="bottom" wrapText="0"/>
    </xf>
    <xf borderId="8" fillId="5" fontId="8" numFmtId="0" xfId="0" applyAlignment="1" applyBorder="1" applyFont="1">
      <alignment horizontal="center" readingOrder="0" shrinkToFit="0" vertical="bottom" wrapText="0"/>
    </xf>
    <xf borderId="8" fillId="6" fontId="10" numFmtId="0" xfId="0" applyAlignment="1" applyBorder="1" applyFont="1">
      <alignment horizontal="center" readingOrder="0" shrinkToFit="0" vertical="bottom" wrapText="0"/>
    </xf>
    <xf borderId="1" fillId="6" fontId="10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7" fillId="13" fontId="10" numFmtId="3" xfId="0" applyAlignment="1" applyBorder="1" applyFont="1" applyNumberFormat="1">
      <alignment horizontal="center" readingOrder="0" shrinkToFit="0" vertical="bottom" wrapText="0"/>
    </xf>
    <xf borderId="7" fillId="13" fontId="10" numFmtId="0" xfId="0" applyAlignment="1" applyBorder="1" applyFont="1">
      <alignment horizontal="center" readingOrder="0" shrinkToFit="0" vertical="bottom" wrapText="0"/>
    </xf>
    <xf borderId="7" fillId="13" fontId="7" numFmtId="0" xfId="0" applyAlignment="1" applyBorder="1" applyFont="1">
      <alignment horizontal="center" readingOrder="0"/>
    </xf>
    <xf borderId="7" fillId="0" fontId="1" numFmtId="3" xfId="0" applyAlignment="1" applyBorder="1" applyFont="1" applyNumberFormat="1">
      <alignment horizontal="center" vertical="bottom"/>
    </xf>
    <xf borderId="7" fillId="0" fontId="1" numFmtId="10" xfId="0" applyAlignment="1" applyBorder="1" applyFont="1" applyNumberFormat="1">
      <alignment horizontal="center" readingOrder="0" vertical="bottom"/>
    </xf>
    <xf borderId="0" fillId="0" fontId="7" numFmtId="168" xfId="0" applyAlignment="1" applyFont="1" applyNumberFormat="1">
      <alignment readingOrder="0"/>
    </xf>
    <xf borderId="7" fillId="9" fontId="1" numFmtId="4" xfId="0" applyAlignment="1" applyBorder="1" applyFont="1" applyNumberFormat="1">
      <alignment horizontal="center" vertical="bottom"/>
    </xf>
    <xf borderId="7" fillId="12" fontId="1" numFmtId="4" xfId="0" applyAlignment="1" applyBorder="1" applyFont="1" applyNumberFormat="1">
      <alignment horizontal="center" vertical="bottom"/>
    </xf>
    <xf borderId="7" fillId="5" fontId="1" numFmtId="10" xfId="0" applyAlignment="1" applyBorder="1" applyFont="1" applyNumberFormat="1">
      <alignment vertical="bottom"/>
    </xf>
    <xf borderId="7" fillId="6" fontId="1" numFmtId="4" xfId="0" applyAlignment="1" applyBorder="1" applyFont="1" applyNumberFormat="1">
      <alignment horizontal="center" readingOrder="0" vertical="bottom"/>
    </xf>
    <xf borderId="7" fillId="6" fontId="1" numFmtId="1" xfId="0" applyAlignment="1" applyBorder="1" applyFont="1" applyNumberFormat="1">
      <alignment horizontal="center" readingOrder="0" vertical="bottom"/>
    </xf>
    <xf borderId="7" fillId="7" fontId="1" numFmtId="4" xfId="0" applyAlignment="1" applyBorder="1" applyFont="1" applyNumberFormat="1">
      <alignment horizontal="center" readingOrder="0" vertical="bottom"/>
    </xf>
    <xf borderId="7" fillId="7" fontId="1" numFmtId="1" xfId="0" applyAlignment="1" applyBorder="1" applyFont="1" applyNumberFormat="1">
      <alignment horizontal="center" readingOrder="0" vertical="bottom"/>
    </xf>
    <xf borderId="7" fillId="5" fontId="6" numFmtId="1" xfId="0" applyAlignment="1" applyBorder="1" applyFont="1" applyNumberFormat="1">
      <alignment horizontal="center" readingOrder="0" vertical="bottom"/>
    </xf>
    <xf borderId="8" fillId="6" fontId="1" numFmtId="4" xfId="0" applyAlignment="1" applyBorder="1" applyFont="1" applyNumberFormat="1">
      <alignment vertical="bottom"/>
    </xf>
    <xf borderId="7" fillId="9" fontId="1" numFmtId="1" xfId="0" applyAlignment="1" applyBorder="1" applyFont="1" applyNumberFormat="1">
      <alignment horizontal="center" vertical="bottom"/>
    </xf>
    <xf borderId="7" fillId="6" fontId="10" numFmtId="0" xfId="0" applyAlignment="1" applyBorder="1" applyFont="1">
      <alignment horizontal="center" readingOrder="0" shrinkToFit="0" vertical="bottom" wrapText="0"/>
    </xf>
    <xf borderId="12" fillId="6" fontId="10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/>
    </xf>
    <xf borderId="7" fillId="0" fontId="7" numFmtId="168" xfId="0" applyAlignment="1" applyBorder="1" applyFont="1" applyNumberFormat="1">
      <alignment readingOrder="0"/>
    </xf>
    <xf borderId="0" fillId="0" fontId="1" numFmtId="16" xfId="0" applyFont="1" applyNumberFormat="1"/>
    <xf borderId="0" fillId="0" fontId="1" numFmtId="16" xfId="0" applyAlignment="1" applyFont="1" applyNumberFormat="1">
      <alignment vertical="bottom"/>
    </xf>
    <xf borderId="11" fillId="0" fontId="1" numFmtId="16" xfId="0" applyAlignment="1" applyBorder="1" applyFont="1" applyNumberFormat="1">
      <alignment vertical="bottom"/>
    </xf>
    <xf borderId="0" fillId="0" fontId="14" numFmtId="0" xfId="0" applyAlignment="1" applyFont="1">
      <alignment horizontal="right" vertical="bottom"/>
    </xf>
    <xf borderId="7" fillId="7" fontId="6" numFmtId="1" xfId="0" applyAlignment="1" applyBorder="1" applyFont="1" applyNumberFormat="1">
      <alignment horizontal="center" vertical="bottom"/>
    </xf>
    <xf borderId="7" fillId="12" fontId="1" numFmtId="1" xfId="0" applyAlignment="1" applyBorder="1" applyFont="1" applyNumberFormat="1">
      <alignment horizontal="center" vertical="bottom"/>
    </xf>
    <xf borderId="7" fillId="7" fontId="1" numFmtId="1" xfId="0" applyAlignment="1" applyBorder="1" applyFont="1" applyNumberFormat="1">
      <alignment vertical="bottom"/>
    </xf>
    <xf borderId="8" fillId="0" fontId="7" numFmtId="0" xfId="0" applyAlignment="1" applyBorder="1" applyFont="1">
      <alignment horizontal="center" readingOrder="0"/>
    </xf>
    <xf borderId="7" fillId="0" fontId="7" numFmtId="0" xfId="0" applyBorder="1" applyFont="1"/>
    <xf borderId="7" fillId="0" fontId="7" numFmtId="10" xfId="0" applyBorder="1" applyFont="1" applyNumberFormat="1"/>
    <xf borderId="7" fillId="4" fontId="7" numFmtId="0" xfId="0" applyAlignment="1" applyBorder="1" applyFont="1">
      <alignment readingOrder="0"/>
    </xf>
    <xf borderId="7" fillId="3" fontId="7" numFmtId="0" xfId="0" applyAlignment="1" applyBorder="1" applyFont="1">
      <alignment readingOrder="0"/>
    </xf>
    <xf borderId="7" fillId="0" fontId="4" numFmtId="164" xfId="0" applyAlignment="1" applyBorder="1" applyFont="1" applyNumberFormat="1">
      <alignment horizontal="center" shrinkToFit="0" wrapText="1"/>
    </xf>
    <xf borderId="7" fillId="2" fontId="4" numFmtId="164" xfId="0" applyAlignment="1" applyBorder="1" applyFont="1" applyNumberFormat="1">
      <alignment horizontal="center" shrinkToFit="0" wrapText="1"/>
    </xf>
    <xf borderId="15" fillId="0" fontId="1" numFmtId="0" xfId="0" applyAlignment="1" applyBorder="1" applyFont="1">
      <alignment horizontal="left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7" fillId="7" fontId="1" numFmtId="1" xfId="0" applyAlignment="1" applyBorder="1" applyFont="1" applyNumberFormat="1">
      <alignment horizontal="center" vertical="bottom"/>
    </xf>
    <xf borderId="7" fillId="8" fontId="1" numFmtId="1" xfId="0" applyAlignment="1" applyBorder="1" applyFont="1" applyNumberFormat="1">
      <alignment horizontal="center" vertical="bottom"/>
    </xf>
    <xf borderId="7" fillId="6" fontId="1" numFmtId="1" xfId="0" applyAlignment="1" applyBorder="1" applyFont="1" applyNumberFormat="1">
      <alignment horizontal="center" vertical="bottom"/>
    </xf>
    <xf borderId="7" fillId="16" fontId="6" numFmtId="1" xfId="0" applyAlignment="1" applyBorder="1" applyFill="1" applyFont="1" applyNumberFormat="1">
      <alignment horizontal="center" vertical="bottom"/>
    </xf>
    <xf borderId="7" fillId="16" fontId="1" numFmtId="1" xfId="0" applyAlignment="1" applyBorder="1" applyFont="1" applyNumberFormat="1">
      <alignment horizontal="center" vertical="bottom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15" numFmtId="0" xfId="0" applyAlignment="1" applyFont="1">
      <alignment horizontal="center" readingOrder="0"/>
    </xf>
    <xf borderId="7" fillId="0" fontId="16" numFmtId="0" xfId="0" applyAlignment="1" applyBorder="1" applyFont="1">
      <alignment horizontal="center" readingOrder="0" shrinkToFit="0" wrapText="0"/>
    </xf>
    <xf borderId="7" fillId="4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12" fillId="4" fontId="4" numFmtId="0" xfId="0" applyAlignment="1" applyBorder="1" applyFont="1">
      <alignment horizontal="center"/>
    </xf>
    <xf borderId="12" fillId="3" fontId="7" numFmtId="0" xfId="0" applyAlignment="1" applyBorder="1" applyFont="1">
      <alignment readingOrder="0"/>
    </xf>
    <xf borderId="12" fillId="3" fontId="4" numFmtId="10" xfId="0" applyAlignment="1" applyBorder="1" applyFont="1" applyNumberFormat="1">
      <alignment horizontal="center"/>
    </xf>
    <xf borderId="0" fillId="0" fontId="17" numFmtId="0" xfId="0" applyFont="1"/>
    <xf borderId="7" fillId="0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center" readingOrder="0"/>
    </xf>
    <xf borderId="7" fillId="3" fontId="1" numFmtId="167" xfId="0" applyAlignment="1" applyBorder="1" applyFont="1" applyNumberFormat="1">
      <alignment horizontal="center" readingOrder="0"/>
    </xf>
    <xf borderId="7" fillId="4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7" fillId="4" fontId="1" numFmtId="167" xfId="0" applyAlignment="1" applyBorder="1" applyFont="1" applyNumberFormat="1">
      <alignment horizontal="center"/>
    </xf>
    <xf borderId="8" fillId="0" fontId="7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63BE7B"/>
          <bgColor rgb="FF63BE7B"/>
        </patternFill>
      </fill>
      <border/>
    </dxf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8696B"/>
          <bgColor rgb="FFF8696B"/>
        </patternFill>
      </fill>
      <border/>
    </dxf>
    <dxf>
      <font>
        <color rgb="FF000000"/>
      </font>
      <fill>
        <patternFill patternType="solid">
          <fgColor rgb="FF63BE7B"/>
          <bgColor rgb="FF63BE7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показы 2025 и показы 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'интернет-маркетинг май'!$R$1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'интернет-маркетинг май'!$Q$2:$Q$32</c:f>
            </c:strRef>
          </c:cat>
          <c:val>
            <c:numRef>
              <c:f>'интернет-маркетинг май'!$R$2:$R$32</c:f>
              <c:numCache/>
            </c:numRef>
          </c:val>
          <c:smooth val="0"/>
        </c:ser>
        <c:ser>
          <c:idx val="1"/>
          <c:order val="1"/>
          <c:tx>
            <c:strRef>
              <c:f>'интернет-маркетинг май'!$T$1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'интернет-маркетинг май'!$Q$2:$Q$32</c:f>
            </c:strRef>
          </c:cat>
          <c:val>
            <c:numRef>
              <c:f>'интернет-маркетинг май'!$T$2:$T$32</c:f>
              <c:numCache/>
            </c:numRef>
          </c:val>
          <c:smooth val="0"/>
        </c:ser>
        <c:axId val="1744684479"/>
        <c:axId val="450823918"/>
      </c:lineChart>
      <c:catAx>
        <c:axId val="174468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823918"/>
      </c:catAx>
      <c:valAx>
        <c:axId val="450823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684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позиция в выдаче 2025 и позиция в выдаче 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'интернет-маркетинг май'!$S$1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'интернет-маркетинг май'!$Q$2:$Q$32</c:f>
            </c:strRef>
          </c:cat>
          <c:val>
            <c:numRef>
              <c:f>'интернет-маркетинг май'!$S$2:$S$32</c:f>
              <c:numCache/>
            </c:numRef>
          </c:val>
          <c:smooth val="0"/>
        </c:ser>
        <c:ser>
          <c:idx val="1"/>
          <c:order val="1"/>
          <c:tx>
            <c:strRef>
              <c:f>'интернет-маркетинг май'!$U$1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'интернет-маркетинг май'!$Q$2:$Q$32</c:f>
            </c:strRef>
          </c:cat>
          <c:val>
            <c:numRef>
              <c:f>'интернет-маркетинг май'!$U$2:$U$32</c:f>
              <c:numCache/>
            </c:numRef>
          </c:val>
          <c:smooth val="0"/>
        </c:ser>
        <c:axId val="1541033178"/>
        <c:axId val="108495472"/>
      </c:lineChart>
      <c:catAx>
        <c:axId val="154103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95472"/>
      </c:catAx>
      <c:valAx>
        <c:axId val="108495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033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12.png"/><Relationship Id="rId4" Type="http://schemas.openxmlformats.org/officeDocument/2006/relationships/image" Target="../media/image8.png"/><Relationship Id="rId5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3.png"/><Relationship Id="rId4" Type="http://schemas.openxmlformats.org/officeDocument/2006/relationships/image" Target="../media/image5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76200</xdr:rowOff>
    </xdr:from>
    <xdr:ext cx="7296150" cy="5486400"/>
    <xdr:pic>
      <xdr:nvPicPr>
        <xdr:cNvPr id="0" name="image1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133350</xdr:rowOff>
    </xdr:from>
    <xdr:ext cx="9963150" cy="48196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30</xdr:row>
      <xdr:rowOff>200025</xdr:rowOff>
    </xdr:from>
    <xdr:ext cx="9963150" cy="47529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0</xdr:row>
      <xdr:rowOff>123825</xdr:rowOff>
    </xdr:from>
    <xdr:ext cx="7019925" cy="5362575"/>
    <xdr:pic>
      <xdr:nvPicPr>
        <xdr:cNvPr id="0" name="image6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200025</xdr:rowOff>
    </xdr:from>
    <xdr:ext cx="7296150" cy="54102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</xdr:row>
      <xdr:rowOff>200025</xdr:rowOff>
    </xdr:from>
    <xdr:ext cx="7296150" cy="5486400"/>
    <xdr:pic>
      <xdr:nvPicPr>
        <xdr:cNvPr id="0" name="image1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0629900" cy="481965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31</xdr:row>
      <xdr:rowOff>200025</xdr:rowOff>
    </xdr:from>
    <xdr:ext cx="9963150" cy="481965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9</xdr:row>
      <xdr:rowOff>0</xdr:rowOff>
    </xdr:from>
    <xdr:ext cx="8134350" cy="61436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1466850</xdr:colOff>
      <xdr:row>2</xdr:row>
      <xdr:rowOff>180975</xdr:rowOff>
    </xdr:from>
    <xdr:ext cx="8181975" cy="5505450"/>
    <xdr:pic>
      <xdr:nvPicPr>
        <xdr:cNvPr id="0" name="image7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200025</xdr:rowOff>
    </xdr:from>
    <xdr:ext cx="8658225" cy="5686425"/>
    <xdr:pic>
      <xdr:nvPicPr>
        <xdr:cNvPr id="0" name="image1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0496550" cy="4695825"/>
    <xdr:pic>
      <xdr:nvPicPr>
        <xdr:cNvPr id="0" name="image8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10610850" cy="4752975"/>
    <xdr:pic>
      <xdr:nvPicPr>
        <xdr:cNvPr id="0" name="image9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1333500</xdr:colOff>
      <xdr:row>4</xdr:row>
      <xdr:rowOff>-180975</xdr:rowOff>
    </xdr:from>
    <xdr:ext cx="7210425" cy="5505450"/>
    <xdr:pic>
      <xdr:nvPicPr>
        <xdr:cNvPr id="0" name="image1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8134350" cy="61436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19050</xdr:rowOff>
    </xdr:from>
    <xdr:ext cx="8181975" cy="5505450"/>
    <xdr:pic>
      <xdr:nvPicPr>
        <xdr:cNvPr id="0" name="image7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200025</xdr:rowOff>
    </xdr:from>
    <xdr:ext cx="8229600" cy="5457825"/>
    <xdr:pic>
      <xdr:nvPicPr>
        <xdr:cNvPr id="0" name="image10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34350" cy="50292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28575</xdr:rowOff>
    </xdr:from>
    <xdr:ext cx="8134350" cy="50292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200025</xdr:rowOff>
    </xdr:from>
    <xdr:ext cx="8134350" cy="6200775"/>
    <xdr:pic>
      <xdr:nvPicPr>
        <xdr:cNvPr id="0" name="image1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</xdr:row>
      <xdr:rowOff>0</xdr:rowOff>
    </xdr:from>
    <xdr:ext cx="8134350" cy="6143625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200025</xdr:rowOff>
    </xdr:from>
    <xdr:ext cx="8982075" cy="6905625"/>
    <xdr:pic>
      <xdr:nvPicPr>
        <xdr:cNvPr id="0" name="image1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126</xdr:row>
      <xdr:rowOff>200025</xdr:rowOff>
    </xdr:from>
    <xdr:ext cx="9258300" cy="6953250"/>
    <xdr:pic>
      <xdr:nvPicPr>
        <xdr:cNvPr id="0" name="image15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6.75"/>
    <col customWidth="1" min="3" max="3" width="29.5"/>
    <col customWidth="1" min="4" max="4" width="22.88"/>
    <col customWidth="1" min="5" max="5" width="21.63"/>
    <col customWidth="1" min="6" max="6" width="20.25"/>
    <col customWidth="1" min="7" max="7" width="19.5"/>
    <col customWidth="1" min="10" max="10" width="3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4"/>
      <c r="H2" s="5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7"/>
      <c r="D3" s="7"/>
      <c r="E3" s="7"/>
      <c r="F3" s="7"/>
      <c r="G3" s="8"/>
      <c r="H3" s="5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8</v>
      </c>
      <c r="B5" s="11">
        <v>4530000.0</v>
      </c>
      <c r="C5" s="12">
        <v>4818780.0</v>
      </c>
      <c r="D5" s="13">
        <v>4800000.0</v>
      </c>
      <c r="E5" s="14">
        <v>4754428.0</v>
      </c>
      <c r="F5" s="15">
        <f t="shared" ref="F5:F6" si="1">C5/B5</f>
        <v>1.063748344</v>
      </c>
      <c r="G5" s="16">
        <f t="shared" ref="G5:G6" si="2">E5/D5</f>
        <v>0.9905058333</v>
      </c>
      <c r="H5" s="5"/>
      <c r="I5" s="17"/>
      <c r="J5" s="18"/>
      <c r="K5" s="19"/>
      <c r="L5" s="1"/>
      <c r="M5" s="17"/>
      <c r="N5" s="18"/>
      <c r="O5" s="1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11">
        <v>8570000.0</v>
      </c>
      <c r="C6" s="12">
        <v>8018161.0</v>
      </c>
      <c r="D6" s="13">
        <v>8700000.0</v>
      </c>
      <c r="E6" s="14">
        <v>7736870.0</v>
      </c>
      <c r="F6" s="15">
        <f t="shared" si="1"/>
        <v>0.9356080513</v>
      </c>
      <c r="G6" s="16">
        <f t="shared" si="2"/>
        <v>0.8892954023</v>
      </c>
      <c r="H6" s="5"/>
      <c r="I6" s="17"/>
      <c r="J6" s="18"/>
      <c r="K6" s="19"/>
      <c r="L6" s="1"/>
      <c r="M6" s="17"/>
      <c r="N6" s="18"/>
      <c r="O6" s="1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5"/>
      <c r="C7" s="5"/>
      <c r="D7" s="5"/>
      <c r="E7" s="5"/>
      <c r="F7" s="5"/>
      <c r="G7" s="5"/>
      <c r="H7" s="5"/>
      <c r="I7" s="17"/>
      <c r="J7" s="18"/>
      <c r="K7" s="19"/>
      <c r="L7" s="1"/>
      <c r="M7" s="17"/>
      <c r="N7" s="18"/>
      <c r="O7" s="1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/>
      <c r="C8" s="3"/>
      <c r="D8" s="3"/>
      <c r="E8" s="3"/>
      <c r="F8" s="3"/>
      <c r="G8" s="4"/>
      <c r="H8" s="5"/>
      <c r="I8" s="17"/>
      <c r="J8" s="18"/>
      <c r="K8" s="19"/>
      <c r="L8" s="1"/>
      <c r="M8" s="17"/>
      <c r="N8" s="18"/>
      <c r="O8" s="1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7"/>
      <c r="E9" s="7"/>
      <c r="F9" s="7"/>
      <c r="G9" s="8"/>
      <c r="H9" s="5"/>
      <c r="I9" s="17"/>
      <c r="J9" s="18"/>
      <c r="K9" s="19"/>
      <c r="L9" s="1"/>
      <c r="M9" s="17"/>
      <c r="N9" s="18"/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 t="s">
        <v>1</v>
      </c>
      <c r="B10" s="10" t="s">
        <v>2</v>
      </c>
      <c r="C10" s="10" t="s">
        <v>3</v>
      </c>
      <c r="D10" s="10" t="s">
        <v>11</v>
      </c>
      <c r="E10" s="10" t="s">
        <v>5</v>
      </c>
      <c r="F10" s="10" t="s">
        <v>6</v>
      </c>
      <c r="G10" s="10" t="s">
        <v>7</v>
      </c>
      <c r="H10" s="5"/>
      <c r="I10" s="17"/>
      <c r="K10" s="21"/>
      <c r="L10" s="1"/>
      <c r="M10" s="17"/>
      <c r="N10" s="18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8</v>
      </c>
      <c r="B11" s="22">
        <v>330.0</v>
      </c>
      <c r="C11" s="22">
        <v>349.0</v>
      </c>
      <c r="D11" s="22">
        <v>330.0</v>
      </c>
      <c r="E11" s="22">
        <v>292.0</v>
      </c>
      <c r="F11" s="23">
        <f t="shared" ref="F11:F12" si="3">C11/B11</f>
        <v>1.057575758</v>
      </c>
      <c r="G11" s="23">
        <f t="shared" ref="G11:G12" si="4">E11/D11</f>
        <v>0.8848484848</v>
      </c>
      <c r="H11" s="5"/>
      <c r="I11" s="17"/>
      <c r="K11" s="21"/>
      <c r="L11" s="1"/>
      <c r="M11" s="17"/>
      <c r="N11" s="18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9</v>
      </c>
      <c r="B12" s="22">
        <v>770.0</v>
      </c>
      <c r="C12" s="22">
        <v>645.0</v>
      </c>
      <c r="D12" s="22">
        <v>770.0</v>
      </c>
      <c r="E12" s="22">
        <v>585.0</v>
      </c>
      <c r="F12" s="23">
        <f t="shared" si="3"/>
        <v>0.8376623377</v>
      </c>
      <c r="G12" s="23">
        <f t="shared" si="4"/>
        <v>0.7597402597</v>
      </c>
      <c r="H12" s="5"/>
      <c r="I12" s="17"/>
      <c r="K12" s="21"/>
      <c r="L12" s="1"/>
      <c r="M12" s="17"/>
      <c r="N12" s="18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5"/>
      <c r="I13" s="17"/>
      <c r="J13" s="18"/>
      <c r="K13" s="21"/>
      <c r="L13" s="1"/>
      <c r="M13" s="17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/>
      <c r="B14" s="25"/>
      <c r="C14" s="26" t="s">
        <v>12</v>
      </c>
      <c r="D14" s="27"/>
      <c r="E14" s="28"/>
      <c r="F14" s="26" t="s">
        <v>13</v>
      </c>
      <c r="G14" s="28"/>
      <c r="H14" s="26" t="s">
        <v>14</v>
      </c>
      <c r="I14" s="28"/>
      <c r="J14" s="29"/>
      <c r="K14" s="5"/>
      <c r="L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/>
      <c r="B15" s="31"/>
      <c r="C15" s="32" t="s">
        <v>15</v>
      </c>
      <c r="D15" s="32" t="s">
        <v>16</v>
      </c>
      <c r="E15" s="32" t="s">
        <v>17</v>
      </c>
      <c r="F15" s="32" t="s">
        <v>15</v>
      </c>
      <c r="G15" s="32" t="s">
        <v>16</v>
      </c>
      <c r="H15" s="32" t="s">
        <v>15</v>
      </c>
      <c r="I15" s="33" t="s">
        <v>16</v>
      </c>
      <c r="J15" s="34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2" t="s">
        <v>18</v>
      </c>
      <c r="B16" s="35">
        <v>1.0</v>
      </c>
      <c r="C16" s="36">
        <v>344158.0</v>
      </c>
      <c r="D16" s="36">
        <v>563660.0</v>
      </c>
      <c r="E16" s="37">
        <f t="shared" ref="E16:E22" si="6">SUM(C16:D16)</f>
        <v>907818</v>
      </c>
      <c r="F16" s="37">
        <v>246.0</v>
      </c>
      <c r="G16" s="37">
        <v>417.0</v>
      </c>
      <c r="H16" s="36">
        <f t="shared" ref="H16:I16" si="5">C16/F16</f>
        <v>1399.01626</v>
      </c>
      <c r="I16" s="38">
        <f t="shared" si="5"/>
        <v>1351.702638</v>
      </c>
      <c r="J16" s="39"/>
      <c r="K16" s="40"/>
      <c r="L16" s="4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2" t="s">
        <v>19</v>
      </c>
      <c r="B17" s="35">
        <v>2.0</v>
      </c>
      <c r="C17" s="36">
        <v>94709.0</v>
      </c>
      <c r="D17" s="36">
        <v>175719.0</v>
      </c>
      <c r="E17" s="37">
        <f t="shared" si="6"/>
        <v>270428</v>
      </c>
      <c r="F17" s="37">
        <v>70.0</v>
      </c>
      <c r="G17" s="37">
        <v>148.0</v>
      </c>
      <c r="H17" s="36">
        <f t="shared" ref="H17:I17" si="7">C17/F17</f>
        <v>1352.985714</v>
      </c>
      <c r="I17" s="38">
        <f t="shared" si="7"/>
        <v>1187.290541</v>
      </c>
      <c r="J17" s="41"/>
      <c r="K17" s="42" t="s">
        <v>15</v>
      </c>
      <c r="L17" s="42" t="s">
        <v>16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2" t="s">
        <v>20</v>
      </c>
      <c r="B18" s="35">
        <v>3.0</v>
      </c>
      <c r="C18" s="36">
        <v>137575.0</v>
      </c>
      <c r="D18" s="36">
        <v>214224.0</v>
      </c>
      <c r="E18" s="37">
        <f t="shared" si="6"/>
        <v>351799</v>
      </c>
      <c r="F18" s="37">
        <v>104.0</v>
      </c>
      <c r="G18" s="37">
        <v>213.0</v>
      </c>
      <c r="H18" s="36">
        <f t="shared" ref="H18:I18" si="8">C18/F18</f>
        <v>1322.836538</v>
      </c>
      <c r="I18" s="38">
        <f t="shared" si="8"/>
        <v>1005.746479</v>
      </c>
      <c r="J18" s="43" t="s">
        <v>21</v>
      </c>
      <c r="K18" s="36">
        <f t="shared" ref="K18:L18" si="9">SUM(C16:C19)</f>
        <v>656401</v>
      </c>
      <c r="L18" s="36">
        <f t="shared" si="9"/>
        <v>1164211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2" t="s">
        <v>22</v>
      </c>
      <c r="B19" s="35">
        <v>4.0</v>
      </c>
      <c r="C19" s="36">
        <v>79959.0</v>
      </c>
      <c r="D19" s="36">
        <v>210608.0</v>
      </c>
      <c r="E19" s="37">
        <f t="shared" si="6"/>
        <v>290567</v>
      </c>
      <c r="F19" s="37">
        <v>69.0</v>
      </c>
      <c r="G19" s="37">
        <v>177.0</v>
      </c>
      <c r="H19" s="36">
        <f t="shared" ref="H19:I19" si="10">C19/F19</f>
        <v>1158.826087</v>
      </c>
      <c r="I19" s="38">
        <f t="shared" si="10"/>
        <v>1189.875706</v>
      </c>
      <c r="J19" s="43" t="s">
        <v>23</v>
      </c>
      <c r="K19" s="36">
        <f t="shared" ref="K19:L19" si="11">SUM(C20:C22)</f>
        <v>574344</v>
      </c>
      <c r="L19" s="36">
        <f t="shared" si="11"/>
        <v>815697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4" t="s">
        <v>24</v>
      </c>
      <c r="B20" s="35">
        <v>5.0</v>
      </c>
      <c r="C20" s="45">
        <v>207947.0</v>
      </c>
      <c r="D20" s="45">
        <v>274727.0</v>
      </c>
      <c r="E20" s="46">
        <f t="shared" si="6"/>
        <v>482674</v>
      </c>
      <c r="F20" s="46">
        <v>154.0</v>
      </c>
      <c r="G20" s="46">
        <v>205.0</v>
      </c>
      <c r="H20" s="45">
        <f t="shared" ref="H20:I20" si="12">C20/F20</f>
        <v>1350.305195</v>
      </c>
      <c r="I20" s="47">
        <f t="shared" si="12"/>
        <v>1340.131707</v>
      </c>
      <c r="J20" s="42" t="s">
        <v>17</v>
      </c>
      <c r="K20" s="36">
        <f t="shared" ref="K20:L20" si="13">SUM(K18:K19)</f>
        <v>1230745</v>
      </c>
      <c r="L20" s="36">
        <f t="shared" si="13"/>
        <v>1979908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4" t="s">
        <v>25</v>
      </c>
      <c r="B21" s="35">
        <v>6.0</v>
      </c>
      <c r="C21" s="45">
        <v>197565.0</v>
      </c>
      <c r="D21" s="45">
        <v>308412.0</v>
      </c>
      <c r="E21" s="46">
        <f t="shared" si="6"/>
        <v>505977</v>
      </c>
      <c r="F21" s="46">
        <v>136.0</v>
      </c>
      <c r="G21" s="46">
        <v>241.0</v>
      </c>
      <c r="H21" s="45">
        <f t="shared" ref="H21:I21" si="14">C21/F21</f>
        <v>1452.683824</v>
      </c>
      <c r="I21" s="47">
        <f t="shared" si="14"/>
        <v>1279.717842</v>
      </c>
      <c r="J21" s="42" t="s">
        <v>26</v>
      </c>
      <c r="K21" s="48">
        <f t="shared" ref="K21:L21" si="15">K18/K19</f>
        <v>1.142870823</v>
      </c>
      <c r="L21" s="48">
        <f t="shared" si="15"/>
        <v>1.427259142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4" t="s">
        <v>27</v>
      </c>
      <c r="B22" s="35">
        <v>7.0</v>
      </c>
      <c r="C22" s="45">
        <v>168832.0</v>
      </c>
      <c r="D22" s="45">
        <v>232558.0</v>
      </c>
      <c r="E22" s="46">
        <f t="shared" si="6"/>
        <v>401390</v>
      </c>
      <c r="F22" s="46">
        <v>133.0</v>
      </c>
      <c r="G22" s="46">
        <v>195.0</v>
      </c>
      <c r="H22" s="45">
        <f t="shared" ref="H22:I22" si="16">C22/F22</f>
        <v>1269.413534</v>
      </c>
      <c r="I22" s="47">
        <f t="shared" si="16"/>
        <v>1192.605128</v>
      </c>
      <c r="J22" s="42" t="s">
        <v>28</v>
      </c>
      <c r="K22" s="48">
        <f t="shared" ref="K22:L22" si="17">1-K18/K19</f>
        <v>-0.1428708231</v>
      </c>
      <c r="L22" s="48">
        <f t="shared" si="17"/>
        <v>-0.4272591416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/>
      <c r="B23" s="49" t="s">
        <v>29</v>
      </c>
      <c r="C23" s="50">
        <f t="shared" ref="C23:G23" si="18">SUM(C16:C22)</f>
        <v>1230745</v>
      </c>
      <c r="D23" s="50">
        <f t="shared" si="18"/>
        <v>1979908</v>
      </c>
      <c r="E23" s="50">
        <f t="shared" si="18"/>
        <v>3210653</v>
      </c>
      <c r="F23" s="50">
        <f t="shared" si="18"/>
        <v>912</v>
      </c>
      <c r="G23" s="50">
        <f t="shared" si="18"/>
        <v>1596</v>
      </c>
      <c r="H23" s="50">
        <f t="shared" ref="H23:I23" si="19">C23/F23</f>
        <v>1349.501096</v>
      </c>
      <c r="I23" s="51">
        <f t="shared" si="19"/>
        <v>1240.54386</v>
      </c>
      <c r="J23" s="52"/>
      <c r="K23" s="53"/>
      <c r="L23" s="5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 t="s">
        <v>18</v>
      </c>
      <c r="B24" s="35">
        <v>8.0</v>
      </c>
      <c r="C24" s="36">
        <v>98785.0</v>
      </c>
      <c r="D24" s="36">
        <v>193471.0</v>
      </c>
      <c r="E24" s="37">
        <f t="shared" ref="E24:E30" si="21">SUM(C24:D24)</f>
        <v>292256</v>
      </c>
      <c r="F24" s="37">
        <v>72.0</v>
      </c>
      <c r="G24" s="37">
        <v>157.0</v>
      </c>
      <c r="H24" s="36">
        <f t="shared" ref="H24:I24" si="20">C24/F24</f>
        <v>1372.013889</v>
      </c>
      <c r="I24" s="38">
        <f t="shared" si="20"/>
        <v>1232.299363</v>
      </c>
      <c r="J24" s="54"/>
      <c r="K24" s="53"/>
      <c r="L24" s="5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2" t="s">
        <v>19</v>
      </c>
      <c r="B25" s="35">
        <v>9.0</v>
      </c>
      <c r="C25" s="36">
        <v>92324.0</v>
      </c>
      <c r="D25" s="36">
        <v>164594.0</v>
      </c>
      <c r="E25" s="37">
        <f t="shared" si="21"/>
        <v>256918</v>
      </c>
      <c r="F25" s="37">
        <v>79.0</v>
      </c>
      <c r="G25" s="37">
        <v>144.0</v>
      </c>
      <c r="H25" s="36">
        <f t="shared" ref="H25:I25" si="22">C25/F25</f>
        <v>1168.658228</v>
      </c>
      <c r="I25" s="38">
        <f t="shared" si="22"/>
        <v>1143.013889</v>
      </c>
      <c r="J25" s="55"/>
      <c r="K25" s="56" t="s">
        <v>15</v>
      </c>
      <c r="L25" s="56" t="s">
        <v>16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2" t="s">
        <v>20</v>
      </c>
      <c r="B26" s="35">
        <v>10.0</v>
      </c>
      <c r="C26" s="36">
        <v>93169.0</v>
      </c>
      <c r="D26" s="36">
        <v>223137.0</v>
      </c>
      <c r="E26" s="37">
        <f t="shared" si="21"/>
        <v>316306</v>
      </c>
      <c r="F26" s="37">
        <v>78.0</v>
      </c>
      <c r="G26" s="37">
        <v>182.0</v>
      </c>
      <c r="H26" s="36">
        <f t="shared" ref="H26:I26" si="23">C26/F26</f>
        <v>1194.474359</v>
      </c>
      <c r="I26" s="38">
        <f t="shared" si="23"/>
        <v>1226.027473</v>
      </c>
      <c r="J26" s="56" t="s">
        <v>21</v>
      </c>
      <c r="K26" s="36">
        <f t="shared" ref="K26:L26" si="24">SUM(C24:C27)</f>
        <v>419853</v>
      </c>
      <c r="L26" s="36">
        <f t="shared" si="24"/>
        <v>797854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2" t="s">
        <v>22</v>
      </c>
      <c r="B27" s="35">
        <v>11.0</v>
      </c>
      <c r="C27" s="36">
        <v>135575.0</v>
      </c>
      <c r="D27" s="36">
        <v>216652.0</v>
      </c>
      <c r="E27" s="37">
        <f t="shared" si="21"/>
        <v>352227</v>
      </c>
      <c r="F27" s="37">
        <v>98.0</v>
      </c>
      <c r="G27" s="37">
        <v>183.0</v>
      </c>
      <c r="H27" s="36">
        <f t="shared" ref="H27:I27" si="25">C27/F27</f>
        <v>1383.418367</v>
      </c>
      <c r="I27" s="38">
        <f t="shared" si="25"/>
        <v>1183.89071</v>
      </c>
      <c r="J27" s="56" t="s">
        <v>23</v>
      </c>
      <c r="K27" s="36">
        <f t="shared" ref="K27:L27" si="26">SUM(C28:C30)</f>
        <v>600809</v>
      </c>
      <c r="L27" s="36">
        <f t="shared" si="26"/>
        <v>934581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4" t="s">
        <v>24</v>
      </c>
      <c r="B28" s="35">
        <v>12.0</v>
      </c>
      <c r="C28" s="45">
        <v>230855.0</v>
      </c>
      <c r="D28" s="45">
        <v>311256.0</v>
      </c>
      <c r="E28" s="46">
        <f t="shared" si="21"/>
        <v>542111</v>
      </c>
      <c r="F28" s="46">
        <v>157.0</v>
      </c>
      <c r="G28" s="46">
        <v>249.0</v>
      </c>
      <c r="H28" s="45">
        <f t="shared" ref="H28:I28" si="27">C28/F28</f>
        <v>1470.414013</v>
      </c>
      <c r="I28" s="47">
        <f t="shared" si="27"/>
        <v>1250.024096</v>
      </c>
      <c r="J28" s="42" t="s">
        <v>17</v>
      </c>
      <c r="K28" s="36">
        <f t="shared" ref="K28:L28" si="28">SUM(K26:K27)</f>
        <v>1020662</v>
      </c>
      <c r="L28" s="36">
        <f t="shared" si="28"/>
        <v>1732435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4" t="s">
        <v>25</v>
      </c>
      <c r="B29" s="35">
        <v>13.0</v>
      </c>
      <c r="C29" s="45">
        <v>217284.0</v>
      </c>
      <c r="D29" s="45">
        <v>350690.0</v>
      </c>
      <c r="E29" s="46">
        <f t="shared" si="21"/>
        <v>567974</v>
      </c>
      <c r="F29" s="46">
        <v>151.0</v>
      </c>
      <c r="G29" s="46">
        <v>276.0</v>
      </c>
      <c r="H29" s="45">
        <f t="shared" ref="H29:I29" si="29">C29/F29</f>
        <v>1438.966887</v>
      </c>
      <c r="I29" s="47">
        <f t="shared" si="29"/>
        <v>1270.615942</v>
      </c>
      <c r="J29" s="42" t="s">
        <v>26</v>
      </c>
      <c r="K29" s="48">
        <f t="shared" ref="K29:L29" si="30">K26/K27</f>
        <v>0.6988127675</v>
      </c>
      <c r="L29" s="48">
        <f t="shared" si="30"/>
        <v>0.8537023543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4" t="s">
        <v>27</v>
      </c>
      <c r="B30" s="35">
        <v>14.0</v>
      </c>
      <c r="C30" s="45">
        <v>152670.0</v>
      </c>
      <c r="D30" s="45">
        <v>272635.0</v>
      </c>
      <c r="E30" s="46">
        <f t="shared" si="21"/>
        <v>425305</v>
      </c>
      <c r="F30" s="46">
        <v>114.0</v>
      </c>
      <c r="G30" s="46">
        <v>225.0</v>
      </c>
      <c r="H30" s="45">
        <f t="shared" ref="H30:I30" si="31">C30/F30</f>
        <v>1339.210526</v>
      </c>
      <c r="I30" s="47">
        <f t="shared" si="31"/>
        <v>1211.711111</v>
      </c>
      <c r="J30" s="42" t="s">
        <v>28</v>
      </c>
      <c r="K30" s="48">
        <f t="shared" ref="K30:L30" si="32">1-K26/K27</f>
        <v>0.3011872325</v>
      </c>
      <c r="L30" s="48">
        <f t="shared" si="32"/>
        <v>0.1462976457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0"/>
      <c r="B31" s="49" t="s">
        <v>29</v>
      </c>
      <c r="C31" s="50">
        <f t="shared" ref="C31:G31" si="33">SUM(C24:C30)</f>
        <v>1020662</v>
      </c>
      <c r="D31" s="50">
        <f t="shared" si="33"/>
        <v>1732435</v>
      </c>
      <c r="E31" s="50">
        <f t="shared" si="33"/>
        <v>2753097</v>
      </c>
      <c r="F31" s="57">
        <f t="shared" si="33"/>
        <v>749</v>
      </c>
      <c r="G31" s="57">
        <f t="shared" si="33"/>
        <v>1416</v>
      </c>
      <c r="H31" s="50">
        <f t="shared" ref="H31:I31" si="34">C31/F31</f>
        <v>1362.699599</v>
      </c>
      <c r="I31" s="51">
        <f t="shared" si="34"/>
        <v>1223.471045</v>
      </c>
      <c r="J31" s="54"/>
      <c r="K31" s="53"/>
      <c r="L31" s="5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2" t="s">
        <v>18</v>
      </c>
      <c r="B32" s="35">
        <v>15.0</v>
      </c>
      <c r="C32" s="36">
        <v>126316.0</v>
      </c>
      <c r="D32" s="36">
        <v>198118.0</v>
      </c>
      <c r="E32" s="37">
        <f t="shared" ref="E32:E38" si="36">SUM(C32:D32)</f>
        <v>324434</v>
      </c>
      <c r="F32" s="37">
        <v>92.0</v>
      </c>
      <c r="G32" s="37">
        <v>163.0</v>
      </c>
      <c r="H32" s="36">
        <f t="shared" ref="H32:I32" si="35">C32/F32</f>
        <v>1373</v>
      </c>
      <c r="I32" s="38">
        <f t="shared" si="35"/>
        <v>1215.447853</v>
      </c>
      <c r="J32" s="54"/>
      <c r="K32" s="58" t="s">
        <v>30</v>
      </c>
      <c r="L32" s="5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2" t="s">
        <v>19</v>
      </c>
      <c r="B33" s="35">
        <v>16.0</v>
      </c>
      <c r="C33" s="36">
        <v>131791.0</v>
      </c>
      <c r="D33" s="36">
        <v>158755.0</v>
      </c>
      <c r="E33" s="37">
        <f t="shared" si="36"/>
        <v>290546</v>
      </c>
      <c r="F33" s="37">
        <v>87.0</v>
      </c>
      <c r="G33" s="37">
        <v>143.0</v>
      </c>
      <c r="H33" s="36">
        <f t="shared" ref="H33:I33" si="37">C33/F33</f>
        <v>1514.83908</v>
      </c>
      <c r="I33" s="38">
        <f t="shared" si="37"/>
        <v>1110.174825</v>
      </c>
      <c r="J33" s="55"/>
      <c r="K33" s="56" t="s">
        <v>15</v>
      </c>
      <c r="L33" s="56" t="s">
        <v>16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2" t="s">
        <v>20</v>
      </c>
      <c r="B34" s="35">
        <v>17.0</v>
      </c>
      <c r="C34" s="36">
        <v>133347.0</v>
      </c>
      <c r="D34" s="36">
        <v>226867.0</v>
      </c>
      <c r="E34" s="37">
        <f t="shared" si="36"/>
        <v>360214</v>
      </c>
      <c r="F34" s="37">
        <v>93.0</v>
      </c>
      <c r="G34" s="37">
        <v>183.0</v>
      </c>
      <c r="H34" s="36">
        <f t="shared" ref="H34:I34" si="38">C34/F34</f>
        <v>1433.83871</v>
      </c>
      <c r="I34" s="38">
        <f t="shared" si="38"/>
        <v>1239.710383</v>
      </c>
      <c r="J34" s="56" t="s">
        <v>21</v>
      </c>
      <c r="K34" s="36">
        <f t="shared" ref="K34:L34" si="39">SUM(C32:C35)</f>
        <v>532780</v>
      </c>
      <c r="L34" s="36">
        <f t="shared" si="39"/>
        <v>774035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2" t="s">
        <v>22</v>
      </c>
      <c r="B35" s="35">
        <v>18.0</v>
      </c>
      <c r="C35" s="36">
        <v>141326.0</v>
      </c>
      <c r="D35" s="36">
        <v>190295.0</v>
      </c>
      <c r="E35" s="37">
        <f t="shared" si="36"/>
        <v>331621</v>
      </c>
      <c r="F35" s="37">
        <v>99.0</v>
      </c>
      <c r="G35" s="37">
        <v>148.0</v>
      </c>
      <c r="H35" s="36">
        <f t="shared" ref="H35:I35" si="40">C35/F35</f>
        <v>1427.535354</v>
      </c>
      <c r="I35" s="38">
        <f t="shared" si="40"/>
        <v>1285.777027</v>
      </c>
      <c r="J35" s="56" t="s">
        <v>23</v>
      </c>
      <c r="K35" s="36">
        <f t="shared" ref="K35:L35" si="41">SUM(C36:C38)</f>
        <v>568960</v>
      </c>
      <c r="L35" s="36">
        <f t="shared" si="41"/>
        <v>991582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4" t="s">
        <v>24</v>
      </c>
      <c r="B36" s="35">
        <v>19.0</v>
      </c>
      <c r="C36" s="45">
        <v>212942.0</v>
      </c>
      <c r="D36" s="45">
        <v>368414.0</v>
      </c>
      <c r="E36" s="46">
        <f t="shared" si="36"/>
        <v>581356</v>
      </c>
      <c r="F36" s="46">
        <v>164.0</v>
      </c>
      <c r="G36" s="46">
        <v>301.0</v>
      </c>
      <c r="H36" s="45">
        <f t="shared" ref="H36:I36" si="42">C36/F36</f>
        <v>1298.426829</v>
      </c>
      <c r="I36" s="47">
        <f t="shared" si="42"/>
        <v>1223.966777</v>
      </c>
      <c r="J36" s="42" t="s">
        <v>17</v>
      </c>
      <c r="K36" s="36">
        <f t="shared" ref="K36:L36" si="43">SUM(K34:K35)</f>
        <v>1101740</v>
      </c>
      <c r="L36" s="36">
        <f t="shared" si="43"/>
        <v>1765617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4" t="s">
        <v>25</v>
      </c>
      <c r="B37" s="35">
        <v>20.0</v>
      </c>
      <c r="C37" s="45">
        <v>219074.0</v>
      </c>
      <c r="D37" s="45">
        <v>309074.0</v>
      </c>
      <c r="E37" s="46">
        <f t="shared" si="36"/>
        <v>528148</v>
      </c>
      <c r="F37" s="46">
        <v>157.0</v>
      </c>
      <c r="G37" s="46">
        <v>247.0</v>
      </c>
      <c r="H37" s="45">
        <f t="shared" ref="H37:I37" si="44">C37/F37</f>
        <v>1395.375796</v>
      </c>
      <c r="I37" s="47">
        <f t="shared" si="44"/>
        <v>1251.311741</v>
      </c>
      <c r="J37" s="42" t="s">
        <v>26</v>
      </c>
      <c r="K37" s="48">
        <f t="shared" ref="K37:L37" si="45">K34/K35</f>
        <v>0.9364102925</v>
      </c>
      <c r="L37" s="48">
        <f t="shared" si="45"/>
        <v>0.7806061425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4" t="s">
        <v>27</v>
      </c>
      <c r="B38" s="35">
        <v>21.0</v>
      </c>
      <c r="C38" s="45">
        <v>136944.0</v>
      </c>
      <c r="D38" s="45">
        <v>314094.0</v>
      </c>
      <c r="E38" s="46">
        <f t="shared" si="36"/>
        <v>451038</v>
      </c>
      <c r="F38" s="46">
        <v>103.0</v>
      </c>
      <c r="G38" s="46">
        <v>241.0</v>
      </c>
      <c r="H38" s="45">
        <f t="shared" ref="H38:I38" si="46">C38/F38</f>
        <v>1329.553398</v>
      </c>
      <c r="I38" s="47">
        <f t="shared" si="46"/>
        <v>1303.294606</v>
      </c>
      <c r="J38" s="42" t="s">
        <v>28</v>
      </c>
      <c r="K38" s="48">
        <f t="shared" ref="K38:L38" si="47">1-K34/K35</f>
        <v>0.06358970754</v>
      </c>
      <c r="L38" s="48">
        <f t="shared" si="47"/>
        <v>0.2193938575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0"/>
      <c r="B39" s="49" t="s">
        <v>29</v>
      </c>
      <c r="C39" s="50">
        <f t="shared" ref="C39:G39" si="48">SUM(C32:C38)</f>
        <v>1101740</v>
      </c>
      <c r="D39" s="50">
        <f t="shared" si="48"/>
        <v>1765617</v>
      </c>
      <c r="E39" s="50">
        <f t="shared" si="48"/>
        <v>2867357</v>
      </c>
      <c r="F39" s="57">
        <f t="shared" si="48"/>
        <v>795</v>
      </c>
      <c r="G39" s="57">
        <f t="shared" si="48"/>
        <v>1426</v>
      </c>
      <c r="H39" s="50">
        <f t="shared" ref="H39:I39" si="49">C39/F39</f>
        <v>1385.836478</v>
      </c>
      <c r="I39" s="51">
        <f t="shared" si="49"/>
        <v>1238.160589</v>
      </c>
      <c r="J39" s="54"/>
      <c r="K39" s="53"/>
      <c r="L39" s="5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2" t="s">
        <v>18</v>
      </c>
      <c r="B40" s="35">
        <v>22.0</v>
      </c>
      <c r="C40" s="36">
        <v>130930.0</v>
      </c>
      <c r="D40" s="36">
        <v>195818.0</v>
      </c>
      <c r="E40" s="37">
        <f t="shared" ref="E40:E46" si="51">SUM(C40:D40)</f>
        <v>326748</v>
      </c>
      <c r="F40" s="37">
        <v>78.0</v>
      </c>
      <c r="G40" s="37">
        <v>157.0</v>
      </c>
      <c r="H40" s="36">
        <f t="shared" ref="H40:I40" si="50">C40/F40</f>
        <v>1678.589744</v>
      </c>
      <c r="I40" s="38">
        <f t="shared" si="50"/>
        <v>1247.248408</v>
      </c>
      <c r="J40" s="54"/>
      <c r="K40" s="53"/>
      <c r="L40" s="5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2" t="s">
        <v>19</v>
      </c>
      <c r="B41" s="35">
        <v>23.0</v>
      </c>
      <c r="C41" s="36">
        <v>106008.0</v>
      </c>
      <c r="D41" s="36">
        <v>174113.0</v>
      </c>
      <c r="E41" s="37">
        <f t="shared" si="51"/>
        <v>280121</v>
      </c>
      <c r="F41" s="37">
        <v>73.0</v>
      </c>
      <c r="G41" s="37">
        <v>139.0</v>
      </c>
      <c r="H41" s="36">
        <f t="shared" ref="H41:I41" si="52">C41/F41</f>
        <v>1452.164384</v>
      </c>
      <c r="I41" s="38">
        <f t="shared" si="52"/>
        <v>1252.611511</v>
      </c>
      <c r="J41" s="55"/>
      <c r="K41" s="56" t="s">
        <v>15</v>
      </c>
      <c r="L41" s="56" t="s">
        <v>16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2" t="s">
        <v>20</v>
      </c>
      <c r="B42" s="35">
        <v>24.0</v>
      </c>
      <c r="C42" s="36">
        <v>133973.0</v>
      </c>
      <c r="D42" s="36">
        <v>185128.0</v>
      </c>
      <c r="E42" s="37">
        <f t="shared" si="51"/>
        <v>319101</v>
      </c>
      <c r="F42" s="37">
        <v>98.0</v>
      </c>
      <c r="G42" s="37">
        <v>170.0</v>
      </c>
      <c r="H42" s="36">
        <f t="shared" ref="H42:I42" si="53">C42/F42</f>
        <v>1367.071429</v>
      </c>
      <c r="I42" s="38">
        <f t="shared" si="53"/>
        <v>1088.988235</v>
      </c>
      <c r="J42" s="56" t="s">
        <v>21</v>
      </c>
      <c r="K42" s="36">
        <f t="shared" ref="K42:L42" si="54">SUM(C40:C43)</f>
        <v>473206</v>
      </c>
      <c r="L42" s="36">
        <f t="shared" si="54"/>
        <v>786841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2" t="s">
        <v>22</v>
      </c>
      <c r="B43" s="35">
        <v>25.0</v>
      </c>
      <c r="C43" s="36">
        <v>102295.0</v>
      </c>
      <c r="D43" s="36">
        <v>231782.0</v>
      </c>
      <c r="E43" s="37">
        <f t="shared" si="51"/>
        <v>334077</v>
      </c>
      <c r="F43" s="37">
        <v>82.0</v>
      </c>
      <c r="G43" s="37">
        <v>193.0</v>
      </c>
      <c r="H43" s="36">
        <f t="shared" ref="H43:I43" si="55">C43/F43</f>
        <v>1247.5</v>
      </c>
      <c r="I43" s="38">
        <f t="shared" si="55"/>
        <v>1200.943005</v>
      </c>
      <c r="J43" s="56" t="s">
        <v>23</v>
      </c>
      <c r="K43" s="36">
        <f t="shared" ref="K43:L43" si="56">SUM(C44:C46)</f>
        <v>702991</v>
      </c>
      <c r="L43" s="36">
        <f t="shared" si="56"/>
        <v>1064478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4" t="s">
        <v>24</v>
      </c>
      <c r="B44" s="35">
        <v>26.0</v>
      </c>
      <c r="C44" s="45">
        <v>201589.0</v>
      </c>
      <c r="D44" s="45">
        <v>355374.0</v>
      </c>
      <c r="E44" s="46">
        <f t="shared" si="51"/>
        <v>556963</v>
      </c>
      <c r="F44" s="46">
        <v>165.0</v>
      </c>
      <c r="G44" s="46">
        <v>274.0</v>
      </c>
      <c r="H44" s="45">
        <f t="shared" ref="H44:I44" si="57">C44/F44</f>
        <v>1221.751515</v>
      </c>
      <c r="I44" s="47">
        <f t="shared" si="57"/>
        <v>1296.985401</v>
      </c>
      <c r="J44" s="42" t="s">
        <v>17</v>
      </c>
      <c r="K44" s="36">
        <f t="shared" ref="K44:L44" si="58">SUM(K42:K43)</f>
        <v>1176197</v>
      </c>
      <c r="L44" s="36">
        <f t="shared" si="58"/>
        <v>1851319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4" t="s">
        <v>25</v>
      </c>
      <c r="B45" s="35">
        <v>27.0</v>
      </c>
      <c r="C45" s="45">
        <v>295606.0</v>
      </c>
      <c r="D45" s="45">
        <v>428612.0</v>
      </c>
      <c r="E45" s="46">
        <f t="shared" si="51"/>
        <v>724218</v>
      </c>
      <c r="F45" s="46">
        <v>177.0</v>
      </c>
      <c r="G45" s="46">
        <v>325.0</v>
      </c>
      <c r="H45" s="45">
        <f t="shared" ref="H45:I45" si="59">C45/F45</f>
        <v>1670.090395</v>
      </c>
      <c r="I45" s="47">
        <f t="shared" si="59"/>
        <v>1318.806154</v>
      </c>
      <c r="J45" s="42" t="s">
        <v>26</v>
      </c>
      <c r="K45" s="48">
        <f t="shared" ref="K45:L45" si="60">K42/K43</f>
        <v>0.673132373</v>
      </c>
      <c r="L45" s="48">
        <f t="shared" si="60"/>
        <v>0.7391801428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4" t="s">
        <v>27</v>
      </c>
      <c r="B46" s="35">
        <v>28.0</v>
      </c>
      <c r="C46" s="45">
        <v>205796.0</v>
      </c>
      <c r="D46" s="45">
        <v>280492.0</v>
      </c>
      <c r="E46" s="46">
        <f t="shared" si="51"/>
        <v>486288</v>
      </c>
      <c r="F46" s="46">
        <v>151.0</v>
      </c>
      <c r="G46" s="46">
        <v>226.0</v>
      </c>
      <c r="H46" s="45">
        <f t="shared" ref="H46:I46" si="61">C46/F46</f>
        <v>1362.887417</v>
      </c>
      <c r="I46" s="47">
        <f t="shared" si="61"/>
        <v>1241.115044</v>
      </c>
      <c r="J46" s="42" t="s">
        <v>28</v>
      </c>
      <c r="K46" s="48">
        <f t="shared" ref="K46:L46" si="62">1-K42/K43</f>
        <v>0.326867627</v>
      </c>
      <c r="L46" s="48">
        <f t="shared" si="62"/>
        <v>0.2608198572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0"/>
      <c r="B47" s="49" t="s">
        <v>29</v>
      </c>
      <c r="C47" s="50">
        <f t="shared" ref="C47:G47" si="63">SUM(C40:C46)</f>
        <v>1176197</v>
      </c>
      <c r="D47" s="50">
        <f t="shared" si="63"/>
        <v>1851319</v>
      </c>
      <c r="E47" s="50">
        <f t="shared" si="63"/>
        <v>3027516</v>
      </c>
      <c r="F47" s="57">
        <f t="shared" si="63"/>
        <v>824</v>
      </c>
      <c r="G47" s="57">
        <f t="shared" si="63"/>
        <v>1484</v>
      </c>
      <c r="H47" s="50">
        <f t="shared" ref="H47:I47" si="64">C47/F47</f>
        <v>1427.423544</v>
      </c>
      <c r="I47" s="51">
        <f t="shared" si="64"/>
        <v>1247.519542</v>
      </c>
      <c r="J47" s="59"/>
      <c r="K47" s="58"/>
      <c r="L47" s="5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2" t="s">
        <v>18</v>
      </c>
      <c r="B48" s="35">
        <v>29.0</v>
      </c>
      <c r="C48" s="36">
        <v>94143.0</v>
      </c>
      <c r="D48" s="36">
        <v>237966.0</v>
      </c>
      <c r="E48" s="37">
        <f t="shared" ref="E48:E49" si="66">SUM(C48:D48)</f>
        <v>332109</v>
      </c>
      <c r="F48" s="37">
        <v>66.0</v>
      </c>
      <c r="G48" s="37">
        <v>169.0</v>
      </c>
      <c r="H48" s="36">
        <f t="shared" ref="H48:I48" si="65">C48/F48</f>
        <v>1426.409091</v>
      </c>
      <c r="I48" s="38">
        <f t="shared" si="65"/>
        <v>1408.08284</v>
      </c>
      <c r="J48" s="59"/>
      <c r="K48" s="58"/>
      <c r="L48" s="5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2" t="s">
        <v>19</v>
      </c>
      <c r="B49" s="35">
        <v>30.0</v>
      </c>
      <c r="C49" s="36">
        <v>130941.0</v>
      </c>
      <c r="D49" s="36">
        <v>169625.0</v>
      </c>
      <c r="E49" s="37">
        <f t="shared" si="66"/>
        <v>300566</v>
      </c>
      <c r="F49" s="37">
        <v>107.0</v>
      </c>
      <c r="G49" s="37">
        <v>158.0</v>
      </c>
      <c r="H49" s="36">
        <f t="shared" ref="H49:I49" si="67">C49/F49</f>
        <v>1223.747664</v>
      </c>
      <c r="I49" s="38">
        <f t="shared" si="67"/>
        <v>1073.575949</v>
      </c>
      <c r="J49" s="60"/>
      <c r="K49" s="61"/>
      <c r="L49" s="6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0"/>
      <c r="B50" s="49" t="s">
        <v>29</v>
      </c>
      <c r="C50" s="50">
        <f t="shared" ref="C50:G50" si="68">SUM(C48:C49)</f>
        <v>225084</v>
      </c>
      <c r="D50" s="50">
        <f t="shared" si="68"/>
        <v>407591</v>
      </c>
      <c r="E50" s="50">
        <f t="shared" si="68"/>
        <v>632675</v>
      </c>
      <c r="F50" s="50">
        <f t="shared" si="68"/>
        <v>173</v>
      </c>
      <c r="G50" s="50">
        <f t="shared" si="68"/>
        <v>327</v>
      </c>
      <c r="H50" s="50">
        <f t="shared" ref="H50:I50" si="69">C50/F50</f>
        <v>1301.063584</v>
      </c>
      <c r="I50" s="51">
        <f t="shared" si="69"/>
        <v>1246.455657</v>
      </c>
      <c r="J50" s="59"/>
      <c r="K50" s="61"/>
      <c r="L50" s="6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0"/>
      <c r="B51" s="42" t="s">
        <v>29</v>
      </c>
      <c r="C51" s="36">
        <f t="shared" ref="C51:G51" si="70">SUM(C47,C23,C31,C39,C50)</f>
        <v>4754428</v>
      </c>
      <c r="D51" s="36">
        <f t="shared" si="70"/>
        <v>7736870</v>
      </c>
      <c r="E51" s="36">
        <f t="shared" si="70"/>
        <v>12491298</v>
      </c>
      <c r="F51" s="36">
        <f t="shared" si="70"/>
        <v>3453</v>
      </c>
      <c r="G51" s="36">
        <f t="shared" si="70"/>
        <v>6249</v>
      </c>
      <c r="H51" s="36">
        <f t="shared" ref="H51:I51" si="71">C51/F51</f>
        <v>1376.89777</v>
      </c>
      <c r="I51" s="38">
        <f t="shared" si="71"/>
        <v>1238.097296</v>
      </c>
      <c r="J51" s="54"/>
      <c r="K51" s="52"/>
      <c r="L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/>
      <c r="B52" s="42" t="s">
        <v>31</v>
      </c>
      <c r="C52" s="36">
        <v>4800000.0</v>
      </c>
      <c r="D52" s="36">
        <v>8700000.0</v>
      </c>
      <c r="E52" s="36">
        <f>SUM(C52:D52)</f>
        <v>13500000</v>
      </c>
      <c r="F52" s="62"/>
      <c r="G52" s="62"/>
      <c r="H52" s="63"/>
      <c r="I52" s="63"/>
      <c r="J52" s="64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/>
      <c r="B53" s="42" t="s">
        <v>32</v>
      </c>
      <c r="C53" s="65">
        <f t="shared" ref="C53:E53" si="72">C51/C52</f>
        <v>0.9905058333</v>
      </c>
      <c r="D53" s="65">
        <f t="shared" si="72"/>
        <v>0.8892954023</v>
      </c>
      <c r="E53" s="65">
        <f t="shared" si="72"/>
        <v>0.9252813333</v>
      </c>
      <c r="F53" s="62"/>
      <c r="G53" s="62"/>
      <c r="H53" s="66"/>
      <c r="I53" s="66"/>
      <c r="J53" s="1"/>
      <c r="K53" s="1"/>
      <c r="L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0"/>
      <c r="B54" s="56" t="s">
        <v>33</v>
      </c>
      <c r="C54" s="36">
        <f t="shared" ref="C54:E54" si="73">C51/30</f>
        <v>158480.9333</v>
      </c>
      <c r="D54" s="36">
        <f t="shared" si="73"/>
        <v>257895.6667</v>
      </c>
      <c r="E54" s="36">
        <f t="shared" si="73"/>
        <v>416376.6</v>
      </c>
      <c r="F54" s="62"/>
      <c r="G54" s="62"/>
      <c r="H54" s="63"/>
      <c r="I54" s="63"/>
      <c r="J54" s="1"/>
      <c r="K54" s="1"/>
      <c r="L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/>
      <c r="B55" s="5"/>
      <c r="C55" s="67"/>
      <c r="D55" s="67"/>
      <c r="E55" s="6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34</v>
      </c>
      <c r="B56" s="3"/>
      <c r="C56" s="3"/>
      <c r="D56" s="3"/>
      <c r="E56" s="3"/>
      <c r="F56" s="3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"/>
      <c r="B57" s="7"/>
      <c r="C57" s="7"/>
      <c r="D57" s="7"/>
      <c r="E57" s="7"/>
      <c r="F57" s="7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" t="s">
        <v>1</v>
      </c>
      <c r="B58" s="10" t="s">
        <v>35</v>
      </c>
      <c r="C58" s="10" t="s">
        <v>36</v>
      </c>
      <c r="D58" s="10" t="s">
        <v>37</v>
      </c>
      <c r="E58" s="10" t="s">
        <v>38</v>
      </c>
      <c r="F58" s="10" t="s">
        <v>39</v>
      </c>
      <c r="G58" s="10" t="s">
        <v>40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8</v>
      </c>
      <c r="B59" s="11">
        <v>3830000.0</v>
      </c>
      <c r="C59" s="12">
        <v>3898000.0</v>
      </c>
      <c r="D59" s="68">
        <v>4800000.0</v>
      </c>
      <c r="E59" s="68">
        <v>4754428.0</v>
      </c>
      <c r="F59" s="15">
        <f t="shared" ref="F59:F60" si="74">C59/B59</f>
        <v>1.017754569</v>
      </c>
      <c r="G59" s="69">
        <f t="shared" ref="G59:G60" si="75">E59/D59</f>
        <v>0.9905058333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9</v>
      </c>
      <c r="B60" s="11">
        <v>7980000.0</v>
      </c>
      <c r="C60" s="12">
        <v>7427000.0</v>
      </c>
      <c r="D60" s="68">
        <v>8700000.0</v>
      </c>
      <c r="E60" s="68">
        <v>7736870.0</v>
      </c>
      <c r="F60" s="69">
        <f t="shared" si="74"/>
        <v>0.9307017544</v>
      </c>
      <c r="G60" s="69">
        <f t="shared" si="75"/>
        <v>0.8892954023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0" t="s">
        <v>1</v>
      </c>
      <c r="B62" s="71" t="s">
        <v>41</v>
      </c>
      <c r="C62" s="71" t="s">
        <v>42</v>
      </c>
      <c r="D62" s="1"/>
      <c r="E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0" t="s">
        <v>8</v>
      </c>
      <c r="B63" s="72">
        <f t="shared" ref="B63:C63" si="76">(D59-B59)/B59</f>
        <v>0.2532637076</v>
      </c>
      <c r="C63" s="72">
        <f t="shared" si="76"/>
        <v>0.2197095947</v>
      </c>
      <c r="D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0" t="s">
        <v>9</v>
      </c>
      <c r="B64" s="72">
        <f t="shared" ref="B64:C64" si="77">(D60-B60)/B60</f>
        <v>0.09022556391</v>
      </c>
      <c r="C64" s="72">
        <f t="shared" si="77"/>
        <v>0.04172209506</v>
      </c>
      <c r="D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/>
      <c r="B65" s="5"/>
      <c r="C65" s="52"/>
      <c r="D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3" t="s">
        <v>43</v>
      </c>
      <c r="B66" s="27"/>
      <c r="C66" s="27"/>
      <c r="D66" s="28"/>
      <c r="E66" s="5"/>
      <c r="F66" s="7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5"/>
      <c r="B67" s="43" t="s">
        <v>15</v>
      </c>
      <c r="C67" s="32" t="s">
        <v>16</v>
      </c>
      <c r="D67" s="32" t="s">
        <v>17</v>
      </c>
      <c r="E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5">
        <v>1.0</v>
      </c>
      <c r="B68" s="37">
        <v>20.0</v>
      </c>
      <c r="C68" s="37">
        <v>42.0</v>
      </c>
      <c r="D68" s="37">
        <f t="shared" ref="D68:D74" si="78">SUM(B68:C68)</f>
        <v>62</v>
      </c>
      <c r="E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5">
        <v>2.0</v>
      </c>
      <c r="B69" s="37">
        <v>10.0</v>
      </c>
      <c r="C69" s="37">
        <v>19.0</v>
      </c>
      <c r="D69" s="37">
        <f t="shared" si="78"/>
        <v>29</v>
      </c>
      <c r="E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5">
        <v>3.0</v>
      </c>
      <c r="B70" s="37">
        <v>8.0</v>
      </c>
      <c r="C70" s="37">
        <v>16.0</v>
      </c>
      <c r="D70" s="37">
        <f t="shared" si="78"/>
        <v>24</v>
      </c>
      <c r="E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5">
        <v>4.0</v>
      </c>
      <c r="B71" s="37">
        <v>6.0</v>
      </c>
      <c r="C71" s="37">
        <v>12.0</v>
      </c>
      <c r="D71" s="37">
        <f t="shared" si="78"/>
        <v>18</v>
      </c>
      <c r="E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5">
        <v>5.0</v>
      </c>
      <c r="B72" s="46">
        <v>16.0</v>
      </c>
      <c r="C72" s="46">
        <v>16.0</v>
      </c>
      <c r="D72" s="46">
        <f t="shared" si="78"/>
        <v>32</v>
      </c>
      <c r="E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5">
        <v>6.0</v>
      </c>
      <c r="B73" s="46">
        <v>14.0</v>
      </c>
      <c r="C73" s="46">
        <v>30.0</v>
      </c>
      <c r="D73" s="46">
        <f t="shared" si="78"/>
        <v>44</v>
      </c>
      <c r="E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5">
        <v>7.0</v>
      </c>
      <c r="B74" s="46">
        <v>14.0</v>
      </c>
      <c r="C74" s="46">
        <v>19.0</v>
      </c>
      <c r="D74" s="46">
        <f t="shared" si="78"/>
        <v>33</v>
      </c>
      <c r="E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9" t="s">
        <v>29</v>
      </c>
      <c r="B75" s="57">
        <f t="shared" ref="B75:D75" si="79">SUM(B68:B74)</f>
        <v>88</v>
      </c>
      <c r="C75" s="57">
        <f t="shared" si="79"/>
        <v>154</v>
      </c>
      <c r="D75" s="57">
        <f t="shared" si="79"/>
        <v>242</v>
      </c>
      <c r="E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5">
        <v>8.0</v>
      </c>
      <c r="B76" s="37">
        <v>5.0</v>
      </c>
      <c r="C76" s="37">
        <v>15.0</v>
      </c>
      <c r="D76" s="37">
        <f t="shared" ref="D76:D82" si="80">SUM(B76:C76)</f>
        <v>20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5">
        <v>9.0</v>
      </c>
      <c r="B77" s="37">
        <v>2.0</v>
      </c>
      <c r="C77" s="37">
        <v>9.0</v>
      </c>
      <c r="D77" s="37">
        <f t="shared" si="80"/>
        <v>11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5">
        <v>10.0</v>
      </c>
      <c r="B78" s="37">
        <v>1.0</v>
      </c>
      <c r="C78" s="37">
        <v>20.0</v>
      </c>
      <c r="D78" s="37">
        <f t="shared" si="80"/>
        <v>21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5">
        <v>11.0</v>
      </c>
      <c r="B79" s="37">
        <v>9.0</v>
      </c>
      <c r="C79" s="37">
        <v>16.0</v>
      </c>
      <c r="D79" s="37">
        <f t="shared" si="80"/>
        <v>25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5">
        <v>12.0</v>
      </c>
      <c r="B80" s="46">
        <v>10.0</v>
      </c>
      <c r="C80" s="46">
        <v>23.0</v>
      </c>
      <c r="D80" s="46">
        <f t="shared" si="80"/>
        <v>33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5">
        <v>13.0</v>
      </c>
      <c r="B81" s="46">
        <v>14.0</v>
      </c>
      <c r="C81" s="46">
        <v>31.0</v>
      </c>
      <c r="D81" s="46">
        <f t="shared" si="80"/>
        <v>45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5">
        <v>14.0</v>
      </c>
      <c r="B82" s="46">
        <v>10.0</v>
      </c>
      <c r="C82" s="46">
        <v>21.0</v>
      </c>
      <c r="D82" s="46">
        <f t="shared" si="80"/>
        <v>31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9" t="s">
        <v>29</v>
      </c>
      <c r="B83" s="57">
        <f t="shared" ref="B83:D83" si="81">SUM(B76:B82)</f>
        <v>51</v>
      </c>
      <c r="C83" s="57">
        <f t="shared" si="81"/>
        <v>135</v>
      </c>
      <c r="D83" s="57">
        <f t="shared" si="81"/>
        <v>186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5">
        <v>15.0</v>
      </c>
      <c r="B84" s="37">
        <v>5.0</v>
      </c>
      <c r="C84" s="37">
        <v>17.0</v>
      </c>
      <c r="D84" s="37">
        <f t="shared" ref="D84:D90" si="82">SUM(B84:C84)</f>
        <v>22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5">
        <v>16.0</v>
      </c>
      <c r="B85" s="37">
        <v>11.0</v>
      </c>
      <c r="C85" s="37">
        <v>8.0</v>
      </c>
      <c r="D85" s="37">
        <f t="shared" si="82"/>
        <v>19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5">
        <v>17.0</v>
      </c>
      <c r="B86" s="37">
        <v>7.0</v>
      </c>
      <c r="C86" s="37">
        <v>24.0</v>
      </c>
      <c r="D86" s="37">
        <f t="shared" si="82"/>
        <v>31</v>
      </c>
    </row>
    <row r="87">
      <c r="A87" s="35">
        <v>18.0</v>
      </c>
      <c r="B87" s="37">
        <v>7.0</v>
      </c>
      <c r="C87" s="37">
        <v>8.0</v>
      </c>
      <c r="D87" s="37">
        <f t="shared" si="82"/>
        <v>15</v>
      </c>
    </row>
    <row r="88">
      <c r="A88" s="35">
        <v>19.0</v>
      </c>
      <c r="B88" s="46">
        <v>10.0</v>
      </c>
      <c r="C88" s="46">
        <v>32.0</v>
      </c>
      <c r="D88" s="46">
        <f t="shared" si="82"/>
        <v>42</v>
      </c>
    </row>
    <row r="89">
      <c r="A89" s="35">
        <v>20.0</v>
      </c>
      <c r="B89" s="46">
        <v>17.0</v>
      </c>
      <c r="C89" s="46">
        <v>23.0</v>
      </c>
      <c r="D89" s="46">
        <f t="shared" si="82"/>
        <v>40</v>
      </c>
    </row>
    <row r="90">
      <c r="A90" s="35">
        <v>21.0</v>
      </c>
      <c r="B90" s="46">
        <v>3.0</v>
      </c>
      <c r="C90" s="46">
        <v>16.0</v>
      </c>
      <c r="D90" s="46">
        <f t="shared" si="82"/>
        <v>19</v>
      </c>
    </row>
    <row r="91">
      <c r="A91" s="49" t="s">
        <v>29</v>
      </c>
      <c r="B91" s="57">
        <f t="shared" ref="B91:D91" si="83">SUM(B84:B90)</f>
        <v>60</v>
      </c>
      <c r="C91" s="57">
        <f t="shared" si="83"/>
        <v>128</v>
      </c>
      <c r="D91" s="57">
        <f t="shared" si="83"/>
        <v>188</v>
      </c>
    </row>
    <row r="92">
      <c r="A92" s="35">
        <v>22.0</v>
      </c>
      <c r="B92" s="37">
        <v>11.0</v>
      </c>
      <c r="C92" s="37">
        <v>10.0</v>
      </c>
      <c r="D92" s="37">
        <f t="shared" ref="D92:D98" si="84">SUM(B92:C92)</f>
        <v>21</v>
      </c>
    </row>
    <row r="93">
      <c r="A93" s="35">
        <v>23.0</v>
      </c>
      <c r="B93" s="37">
        <v>4.0</v>
      </c>
      <c r="C93" s="37">
        <v>9.0</v>
      </c>
      <c r="D93" s="37">
        <f t="shared" si="84"/>
        <v>13</v>
      </c>
    </row>
    <row r="94">
      <c r="A94" s="35">
        <v>24.0</v>
      </c>
      <c r="B94" s="37">
        <v>7.0</v>
      </c>
      <c r="C94" s="37">
        <v>12.0</v>
      </c>
      <c r="D94" s="37">
        <f t="shared" si="84"/>
        <v>19</v>
      </c>
    </row>
    <row r="95">
      <c r="A95" s="35">
        <v>25.0</v>
      </c>
      <c r="B95" s="37">
        <v>9.0</v>
      </c>
      <c r="C95" s="37">
        <v>16.0</v>
      </c>
      <c r="D95" s="37">
        <f t="shared" si="84"/>
        <v>25</v>
      </c>
    </row>
    <row r="96">
      <c r="A96" s="35">
        <v>26.0</v>
      </c>
      <c r="B96" s="46">
        <v>16.0</v>
      </c>
      <c r="C96" s="46">
        <v>35.0</v>
      </c>
      <c r="D96" s="46">
        <f t="shared" si="84"/>
        <v>51</v>
      </c>
    </row>
    <row r="97">
      <c r="A97" s="35">
        <v>27.0</v>
      </c>
      <c r="B97" s="46">
        <v>21.0</v>
      </c>
      <c r="C97" s="46">
        <v>33.0</v>
      </c>
      <c r="D97" s="46">
        <f t="shared" si="84"/>
        <v>54</v>
      </c>
    </row>
    <row r="98">
      <c r="A98" s="35">
        <v>28.0</v>
      </c>
      <c r="B98" s="46">
        <v>12.0</v>
      </c>
      <c r="C98" s="46">
        <v>23.0</v>
      </c>
      <c r="D98" s="46">
        <f t="shared" si="84"/>
        <v>35</v>
      </c>
    </row>
    <row r="99">
      <c r="A99" s="49" t="s">
        <v>29</v>
      </c>
      <c r="B99" s="57">
        <f t="shared" ref="B99:D99" si="85">SUM(B92:B98)</f>
        <v>80</v>
      </c>
      <c r="C99" s="57">
        <f t="shared" si="85"/>
        <v>138</v>
      </c>
      <c r="D99" s="57">
        <f t="shared" si="85"/>
        <v>218</v>
      </c>
    </row>
    <row r="100">
      <c r="A100" s="35">
        <v>29.0</v>
      </c>
      <c r="B100" s="37">
        <v>5.0</v>
      </c>
      <c r="C100" s="37">
        <v>17.0</v>
      </c>
      <c r="D100" s="37">
        <f t="shared" ref="D100:D101" si="86">SUM(B100:C100)</f>
        <v>22</v>
      </c>
    </row>
    <row r="101">
      <c r="A101" s="35">
        <v>30.0</v>
      </c>
      <c r="B101" s="37">
        <v>8.0</v>
      </c>
      <c r="C101" s="37">
        <v>13.0</v>
      </c>
      <c r="D101" s="37">
        <f t="shared" si="86"/>
        <v>21</v>
      </c>
    </row>
    <row r="102">
      <c r="A102" s="49" t="s">
        <v>29</v>
      </c>
      <c r="B102" s="50">
        <f t="shared" ref="B102:D102" si="87">SUM(B100:B101)</f>
        <v>13</v>
      </c>
      <c r="C102" s="50">
        <f t="shared" si="87"/>
        <v>30</v>
      </c>
      <c r="D102" s="50">
        <f t="shared" si="87"/>
        <v>43</v>
      </c>
    </row>
    <row r="103">
      <c r="A103" s="32" t="s">
        <v>29</v>
      </c>
      <c r="B103" s="36">
        <f t="shared" ref="B103:D103" si="88">SUM(B99,B75,B83,B91,B102)</f>
        <v>292</v>
      </c>
      <c r="C103" s="36">
        <f t="shared" si="88"/>
        <v>585</v>
      </c>
      <c r="D103" s="36">
        <f t="shared" si="88"/>
        <v>877</v>
      </c>
    </row>
    <row r="104">
      <c r="A104" s="32" t="s">
        <v>31</v>
      </c>
      <c r="B104" s="37">
        <v>330.0</v>
      </c>
      <c r="C104" s="37">
        <v>770.0</v>
      </c>
      <c r="D104" s="37">
        <f>SUM(B104:C104)</f>
        <v>1100</v>
      </c>
    </row>
    <row r="105">
      <c r="A105" s="32" t="s">
        <v>32</v>
      </c>
      <c r="B105" s="65">
        <f t="shared" ref="B105:D105" si="89">B103/B104</f>
        <v>0.8848484848</v>
      </c>
      <c r="C105" s="65">
        <f t="shared" si="89"/>
        <v>0.7597402597</v>
      </c>
      <c r="D105" s="65">
        <f t="shared" si="89"/>
        <v>0.7972727273</v>
      </c>
    </row>
    <row r="106">
      <c r="A106" s="32" t="s">
        <v>33</v>
      </c>
      <c r="B106" s="36">
        <f t="shared" ref="B106:D106" si="90">B103/30</f>
        <v>9.733333333</v>
      </c>
      <c r="C106" s="36">
        <f t="shared" si="90"/>
        <v>19.5</v>
      </c>
      <c r="D106" s="36">
        <f t="shared" si="90"/>
        <v>29.23333333</v>
      </c>
    </row>
    <row r="107">
      <c r="A107" s="1"/>
      <c r="B107" s="76"/>
      <c r="C107" s="77"/>
      <c r="D107" s="76"/>
    </row>
    <row r="108">
      <c r="C108" s="78"/>
    </row>
    <row r="110">
      <c r="A110" s="79" t="s">
        <v>44</v>
      </c>
      <c r="B110" s="27"/>
      <c r="C110" s="27"/>
      <c r="D110" s="28"/>
    </row>
    <row r="111">
      <c r="A111" s="80"/>
      <c r="B111" s="81" t="s">
        <v>45</v>
      </c>
      <c r="C111" s="81" t="s">
        <v>46</v>
      </c>
      <c r="D111" s="81" t="s">
        <v>47</v>
      </c>
    </row>
    <row r="112">
      <c r="A112" s="81" t="s">
        <v>48</v>
      </c>
      <c r="B112" s="82">
        <v>1414.0</v>
      </c>
      <c r="C112" s="82">
        <v>1415.0</v>
      </c>
      <c r="D112" s="83">
        <f t="shared" ref="D112:D113" si="91">C112/B112-100%</f>
        <v>0.0007072135785</v>
      </c>
    </row>
    <row r="113">
      <c r="A113" s="81" t="s">
        <v>49</v>
      </c>
      <c r="B113" s="82">
        <v>2295.0</v>
      </c>
      <c r="C113" s="82">
        <v>2091.0</v>
      </c>
      <c r="D113" s="83">
        <f t="shared" si="91"/>
        <v>-0.08888888889</v>
      </c>
    </row>
    <row r="119">
      <c r="A119" s="31"/>
      <c r="B119" s="84" t="s">
        <v>50</v>
      </c>
      <c r="C119" s="85"/>
      <c r="D119" s="85"/>
      <c r="E119" s="85"/>
      <c r="F119" s="85"/>
      <c r="G119" s="86"/>
    </row>
    <row r="120">
      <c r="A120" s="31"/>
      <c r="B120" s="87" t="s">
        <v>15</v>
      </c>
      <c r="C120" s="88" t="s">
        <v>28</v>
      </c>
      <c r="D120" s="87" t="s">
        <v>16</v>
      </c>
      <c r="E120" s="88" t="s">
        <v>28</v>
      </c>
      <c r="F120" s="87" t="s">
        <v>17</v>
      </c>
      <c r="G120" s="88" t="s">
        <v>28</v>
      </c>
    </row>
    <row r="121">
      <c r="A121" s="89" t="s">
        <v>51</v>
      </c>
      <c r="B121" s="90" t="s">
        <v>52</v>
      </c>
      <c r="C121" s="91"/>
      <c r="D121" s="92" t="s">
        <v>53</v>
      </c>
      <c r="E121" s="91"/>
      <c r="F121" s="92" t="s">
        <v>54</v>
      </c>
      <c r="G121" s="91"/>
    </row>
    <row r="122">
      <c r="A122" s="89" t="s">
        <v>55</v>
      </c>
      <c r="B122" s="90" t="s">
        <v>56</v>
      </c>
      <c r="C122" s="93">
        <v>-0.0146</v>
      </c>
      <c r="D122" s="92" t="s">
        <v>57</v>
      </c>
      <c r="E122" s="93">
        <v>-0.1177</v>
      </c>
      <c r="F122" s="92" t="s">
        <v>58</v>
      </c>
      <c r="G122" s="93">
        <v>-0.0831</v>
      </c>
    </row>
    <row r="123">
      <c r="A123" s="89" t="s">
        <v>59</v>
      </c>
      <c r="B123" s="90" t="s">
        <v>60</v>
      </c>
      <c r="C123" s="94">
        <v>0.0993</v>
      </c>
      <c r="D123" s="92" t="s">
        <v>61</v>
      </c>
      <c r="E123" s="94">
        <v>0.1017</v>
      </c>
      <c r="F123" s="92" t="s">
        <v>62</v>
      </c>
      <c r="G123" s="94">
        <v>0.1008</v>
      </c>
    </row>
    <row r="124">
      <c r="A124" s="89" t="s">
        <v>63</v>
      </c>
      <c r="B124" s="90" t="s">
        <v>64</v>
      </c>
      <c r="C124" s="93">
        <v>-0.1533</v>
      </c>
      <c r="D124" s="92" t="s">
        <v>65</v>
      </c>
      <c r="E124" s="93">
        <v>-0.1124</v>
      </c>
      <c r="F124" s="92" t="s">
        <v>66</v>
      </c>
      <c r="G124" s="93">
        <v>-0.1271</v>
      </c>
    </row>
    <row r="125">
      <c r="A125" s="89" t="s">
        <v>67</v>
      </c>
      <c r="B125" s="90" t="s">
        <v>68</v>
      </c>
      <c r="C125" s="94">
        <v>0.2264</v>
      </c>
      <c r="D125" s="92" t="s">
        <v>69</v>
      </c>
      <c r="E125" s="94">
        <v>0.1844</v>
      </c>
      <c r="F125" s="92" t="s">
        <v>70</v>
      </c>
      <c r="G125" s="94">
        <v>0.199</v>
      </c>
    </row>
    <row r="126">
      <c r="A126" s="89" t="s">
        <v>71</v>
      </c>
      <c r="B126" s="90" t="s">
        <v>72</v>
      </c>
      <c r="C126" s="93">
        <v>-0.064</v>
      </c>
      <c r="D126" s="92" t="s">
        <v>73</v>
      </c>
      <c r="E126" s="93">
        <v>-0.0547</v>
      </c>
      <c r="F126" s="92" t="s">
        <v>74</v>
      </c>
      <c r="G126" s="93">
        <v>-0.058</v>
      </c>
    </row>
    <row r="127">
      <c r="A127" s="89" t="s">
        <v>75</v>
      </c>
      <c r="B127" s="95" t="s">
        <v>76</v>
      </c>
      <c r="C127" s="94">
        <v>0.0809</v>
      </c>
      <c r="D127" s="95" t="s">
        <v>77</v>
      </c>
      <c r="E127" s="94">
        <v>0.0365</v>
      </c>
      <c r="F127" s="92" t="s">
        <v>78</v>
      </c>
      <c r="G127" s="94">
        <v>0.0522</v>
      </c>
    </row>
    <row r="128">
      <c r="A128" s="89" t="s">
        <v>79</v>
      </c>
      <c r="B128" s="90" t="s">
        <v>80</v>
      </c>
      <c r="C128" s="94">
        <v>0.0012</v>
      </c>
      <c r="D128" s="92" t="s">
        <v>81</v>
      </c>
      <c r="E128" s="93">
        <v>-0.0459</v>
      </c>
      <c r="F128" s="92" t="s">
        <v>82</v>
      </c>
      <c r="G128" s="93">
        <v>-0.0288</v>
      </c>
    </row>
    <row r="129">
      <c r="A129" s="96" t="s">
        <v>83</v>
      </c>
      <c r="B129" s="97" t="s">
        <v>84</v>
      </c>
      <c r="C129" s="98">
        <v>-0.0134</v>
      </c>
      <c r="D129" s="97" t="s">
        <v>85</v>
      </c>
      <c r="E129" s="98">
        <v>-0.0351</v>
      </c>
      <c r="F129" s="97" t="s">
        <v>86</v>
      </c>
      <c r="G129" s="98">
        <v>-0.0269</v>
      </c>
    </row>
    <row r="131">
      <c r="A131" s="81" t="s">
        <v>87</v>
      </c>
      <c r="B131" s="81" t="s">
        <v>88</v>
      </c>
      <c r="C131" s="81" t="s">
        <v>89</v>
      </c>
      <c r="D131" s="81" t="s">
        <v>90</v>
      </c>
      <c r="E131" s="81" t="s">
        <v>91</v>
      </c>
    </row>
    <row r="132">
      <c r="A132" s="82" t="s">
        <v>92</v>
      </c>
      <c r="B132" s="82" t="s">
        <v>93</v>
      </c>
      <c r="C132" s="82">
        <v>230.0</v>
      </c>
      <c r="D132" s="99"/>
      <c r="E132" s="100"/>
    </row>
    <row r="133">
      <c r="A133" s="82" t="s">
        <v>94</v>
      </c>
      <c r="B133" s="82" t="s">
        <v>95</v>
      </c>
      <c r="C133" s="82">
        <v>194.0</v>
      </c>
      <c r="D133" s="99"/>
      <c r="E133" s="100"/>
    </row>
    <row r="134">
      <c r="A134" s="82" t="s">
        <v>94</v>
      </c>
      <c r="B134" s="82" t="s">
        <v>96</v>
      </c>
      <c r="C134" s="82">
        <v>22.0</v>
      </c>
      <c r="D134" s="99"/>
      <c r="E134" s="100"/>
    </row>
    <row r="135">
      <c r="A135" s="82" t="s">
        <v>97</v>
      </c>
      <c r="B135" s="101" t="s">
        <v>98</v>
      </c>
      <c r="C135" s="82">
        <v>118.0</v>
      </c>
      <c r="D135" s="82">
        <v>136.0</v>
      </c>
      <c r="E135" s="102">
        <v>89.0</v>
      </c>
    </row>
    <row r="136">
      <c r="A136" s="82" t="s">
        <v>99</v>
      </c>
      <c r="B136" s="101" t="s">
        <v>100</v>
      </c>
      <c r="C136" s="82">
        <v>109.0</v>
      </c>
      <c r="D136" s="82">
        <v>109.0</v>
      </c>
      <c r="E136" s="102">
        <v>81.0</v>
      </c>
    </row>
    <row r="137">
      <c r="A137" s="82" t="s">
        <v>101</v>
      </c>
      <c r="B137" s="82">
        <v>25073.0</v>
      </c>
      <c r="C137" s="82">
        <v>90.0</v>
      </c>
      <c r="D137" s="82"/>
      <c r="E137" s="102">
        <v>84.0</v>
      </c>
    </row>
    <row r="138">
      <c r="A138" s="82" t="s">
        <v>102</v>
      </c>
      <c r="B138" s="82" t="s">
        <v>103</v>
      </c>
      <c r="C138" s="82">
        <v>56.0</v>
      </c>
      <c r="D138" s="82">
        <v>48.0</v>
      </c>
      <c r="E138" s="102">
        <v>42.0</v>
      </c>
    </row>
    <row r="139">
      <c r="A139" s="82" t="s">
        <v>104</v>
      </c>
      <c r="B139" s="82" t="s">
        <v>105</v>
      </c>
      <c r="C139" s="82">
        <v>31.0</v>
      </c>
      <c r="D139" s="82"/>
      <c r="E139" s="102">
        <v>30.0</v>
      </c>
    </row>
    <row r="140">
      <c r="A140" s="82" t="s">
        <v>106</v>
      </c>
      <c r="B140" s="82">
        <v>24041.0</v>
      </c>
      <c r="C140" s="82">
        <v>28.0</v>
      </c>
      <c r="D140" s="82">
        <v>21.0</v>
      </c>
      <c r="E140" s="102">
        <v>17.0</v>
      </c>
    </row>
    <row r="141">
      <c r="A141" s="82" t="s">
        <v>107</v>
      </c>
      <c r="B141" s="82" t="s">
        <v>108</v>
      </c>
      <c r="C141" s="82">
        <v>26.0</v>
      </c>
      <c r="D141" s="82">
        <v>18.0</v>
      </c>
      <c r="E141" s="102">
        <v>16.0</v>
      </c>
    </row>
    <row r="142">
      <c r="A142" s="82" t="s">
        <v>109</v>
      </c>
      <c r="B142" s="82" t="s">
        <v>110</v>
      </c>
      <c r="C142" s="82">
        <v>25.0</v>
      </c>
      <c r="D142" s="82">
        <v>53.0</v>
      </c>
      <c r="E142" s="102">
        <v>39.0</v>
      </c>
    </row>
    <row r="143">
      <c r="A143" s="82" t="s">
        <v>111</v>
      </c>
      <c r="B143" s="82">
        <v>74910.0</v>
      </c>
      <c r="C143" s="82">
        <v>21.0</v>
      </c>
      <c r="D143" s="82">
        <v>28.0</v>
      </c>
      <c r="E143" s="102">
        <v>29.0</v>
      </c>
    </row>
    <row r="144">
      <c r="A144" s="82" t="s">
        <v>112</v>
      </c>
      <c r="B144" s="82" t="s">
        <v>113</v>
      </c>
      <c r="C144" s="82">
        <v>20.0</v>
      </c>
      <c r="D144" s="82">
        <v>294.0</v>
      </c>
      <c r="E144" s="102">
        <v>223.0</v>
      </c>
    </row>
    <row r="145">
      <c r="A145" s="82" t="s">
        <v>114</v>
      </c>
      <c r="B145" s="82" t="s">
        <v>115</v>
      </c>
      <c r="C145" s="82">
        <v>12.0</v>
      </c>
      <c r="D145" s="82">
        <v>32.0</v>
      </c>
      <c r="E145" s="102">
        <v>12.0</v>
      </c>
    </row>
    <row r="146">
      <c r="A146" s="82" t="s">
        <v>116</v>
      </c>
      <c r="B146" s="82">
        <v>24048.0</v>
      </c>
      <c r="C146" s="82">
        <v>11.0</v>
      </c>
      <c r="D146" s="82"/>
      <c r="E146" s="102">
        <v>7.0</v>
      </c>
    </row>
    <row r="147">
      <c r="A147" s="82" t="s">
        <v>117</v>
      </c>
      <c r="B147" s="82" t="s">
        <v>118</v>
      </c>
      <c r="C147" s="82">
        <v>8.0</v>
      </c>
      <c r="D147" s="82">
        <v>15.0</v>
      </c>
      <c r="E147" s="102">
        <v>16.0</v>
      </c>
    </row>
    <row r="148">
      <c r="A148" s="82" t="s">
        <v>97</v>
      </c>
      <c r="B148" s="82">
        <v>234.0</v>
      </c>
      <c r="C148" s="82">
        <v>3.0</v>
      </c>
      <c r="D148" s="82">
        <v>6.0</v>
      </c>
      <c r="E148" s="102">
        <v>8.0</v>
      </c>
    </row>
    <row r="149">
      <c r="A149" s="82" t="s">
        <v>119</v>
      </c>
      <c r="B149" s="82" t="s">
        <v>120</v>
      </c>
      <c r="C149" s="82"/>
      <c r="D149" s="82">
        <v>373.0</v>
      </c>
      <c r="E149" s="102">
        <v>334.0</v>
      </c>
    </row>
    <row r="150">
      <c r="A150" s="82" t="s">
        <v>121</v>
      </c>
      <c r="B150" s="82" t="s">
        <v>122</v>
      </c>
      <c r="C150" s="82"/>
      <c r="D150" s="82"/>
      <c r="E150" s="102">
        <v>225.0</v>
      </c>
    </row>
    <row r="151">
      <c r="A151" s="82" t="s">
        <v>123</v>
      </c>
      <c r="B151" s="82" t="s">
        <v>123</v>
      </c>
      <c r="C151" s="82"/>
      <c r="D151" s="82">
        <v>16.0</v>
      </c>
      <c r="E151" s="102">
        <v>52.0</v>
      </c>
    </row>
    <row r="152">
      <c r="A152" s="82" t="s">
        <v>124</v>
      </c>
      <c r="B152" s="82">
        <v>2525.0</v>
      </c>
      <c r="C152" s="82"/>
      <c r="D152" s="82">
        <v>21.0</v>
      </c>
      <c r="E152" s="102">
        <v>17.0</v>
      </c>
    </row>
    <row r="153">
      <c r="A153" s="103"/>
      <c r="B153" s="103"/>
      <c r="C153" s="104"/>
      <c r="E153" s="104"/>
    </row>
    <row r="154">
      <c r="A154" s="103"/>
      <c r="B154" s="103"/>
      <c r="C154" s="104"/>
      <c r="E154" s="104"/>
    </row>
    <row r="159">
      <c r="A159" s="105" t="s">
        <v>125</v>
      </c>
      <c r="B159" s="105" t="s">
        <v>126</v>
      </c>
      <c r="C159" s="106" t="s">
        <v>127</v>
      </c>
      <c r="D159" s="106" t="s">
        <v>128</v>
      </c>
      <c r="E159" s="106" t="s">
        <v>129</v>
      </c>
      <c r="F159" s="107" t="s">
        <v>130</v>
      </c>
    </row>
    <row r="160">
      <c r="A160" s="108" t="s">
        <v>131</v>
      </c>
      <c r="B160" s="109" t="s">
        <v>132</v>
      </c>
      <c r="C160" s="106"/>
      <c r="D160" s="110"/>
      <c r="E160" s="111">
        <v>2609.0</v>
      </c>
      <c r="F160" s="112">
        <v>3874659.0</v>
      </c>
    </row>
    <row r="161">
      <c r="A161" s="113"/>
      <c r="B161" s="114" t="s">
        <v>15</v>
      </c>
      <c r="C161" s="115">
        <v>359.0</v>
      </c>
      <c r="D161" s="116" t="s">
        <v>133</v>
      </c>
      <c r="E161" s="117">
        <v>401.0</v>
      </c>
      <c r="F161" s="118">
        <v>551903.0</v>
      </c>
    </row>
    <row r="162">
      <c r="A162" s="113"/>
      <c r="B162" s="114" t="s">
        <v>134</v>
      </c>
      <c r="C162" s="115">
        <v>206.0</v>
      </c>
      <c r="D162" s="116" t="s">
        <v>135</v>
      </c>
      <c r="E162" s="117">
        <v>182.0</v>
      </c>
      <c r="F162" s="118">
        <v>264872.0</v>
      </c>
    </row>
    <row r="163">
      <c r="A163" s="113"/>
      <c r="B163" s="114" t="s">
        <v>136</v>
      </c>
      <c r="C163" s="115">
        <v>204.0</v>
      </c>
      <c r="D163" s="116" t="s">
        <v>137</v>
      </c>
      <c r="E163" s="117">
        <v>223.0</v>
      </c>
      <c r="F163" s="118">
        <v>317626.0</v>
      </c>
    </row>
    <row r="164">
      <c r="A164" s="113"/>
      <c r="B164" s="114" t="s">
        <v>138</v>
      </c>
      <c r="C164" s="115">
        <v>159.0</v>
      </c>
      <c r="D164" s="116" t="s">
        <v>139</v>
      </c>
      <c r="E164" s="117">
        <v>187.0</v>
      </c>
      <c r="F164" s="118">
        <v>243889.0</v>
      </c>
    </row>
    <row r="165">
      <c r="A165" s="113"/>
      <c r="B165" s="114" t="s">
        <v>140</v>
      </c>
      <c r="C165" s="115">
        <v>129.0</v>
      </c>
      <c r="D165" s="116" t="s">
        <v>141</v>
      </c>
      <c r="E165" s="117">
        <v>142.0</v>
      </c>
      <c r="F165" s="118">
        <v>192975.0</v>
      </c>
    </row>
    <row r="166">
      <c r="A166" s="113"/>
      <c r="B166" s="114" t="s">
        <v>142</v>
      </c>
      <c r="C166" s="115">
        <v>119.0</v>
      </c>
      <c r="D166" s="116" t="s">
        <v>143</v>
      </c>
      <c r="E166" s="117">
        <v>106.0</v>
      </c>
      <c r="F166" s="118">
        <v>168888.0</v>
      </c>
    </row>
    <row r="167">
      <c r="A167" s="113"/>
      <c r="B167" s="114" t="s">
        <v>144</v>
      </c>
      <c r="C167" s="115">
        <v>118.0</v>
      </c>
      <c r="D167" s="116" t="s">
        <v>145</v>
      </c>
      <c r="E167" s="117">
        <v>144.0</v>
      </c>
      <c r="F167" s="118">
        <v>213541.0</v>
      </c>
    </row>
    <row r="168">
      <c r="A168" s="113"/>
      <c r="B168" s="114" t="s">
        <v>146</v>
      </c>
      <c r="C168" s="115">
        <v>107.0</v>
      </c>
      <c r="D168" s="116" t="s">
        <v>147</v>
      </c>
      <c r="E168" s="119">
        <v>140.0</v>
      </c>
      <c r="F168" s="118">
        <v>160466.0</v>
      </c>
    </row>
    <row r="169">
      <c r="A169" s="113"/>
      <c r="B169" s="114" t="s">
        <v>148</v>
      </c>
      <c r="C169" s="115">
        <v>104.0</v>
      </c>
      <c r="D169" s="116" t="s">
        <v>149</v>
      </c>
      <c r="E169" s="117">
        <v>94.0</v>
      </c>
      <c r="F169" s="118">
        <v>128436.0</v>
      </c>
    </row>
    <row r="170">
      <c r="A170" s="113"/>
      <c r="B170" s="114" t="s">
        <v>150</v>
      </c>
      <c r="C170" s="115">
        <v>94.0</v>
      </c>
      <c r="D170" s="116" t="s">
        <v>151</v>
      </c>
      <c r="E170" s="117">
        <v>81.0</v>
      </c>
      <c r="F170" s="118">
        <v>115285.0</v>
      </c>
    </row>
    <row r="171">
      <c r="A171" s="113"/>
      <c r="B171" s="114" t="s">
        <v>152</v>
      </c>
      <c r="C171" s="115">
        <v>93.0</v>
      </c>
      <c r="D171" s="116" t="s">
        <v>153</v>
      </c>
      <c r="E171" s="117">
        <v>98.0</v>
      </c>
      <c r="F171" s="118">
        <v>175943.0</v>
      </c>
    </row>
    <row r="172">
      <c r="A172" s="113"/>
      <c r="B172" s="114" t="s">
        <v>154</v>
      </c>
      <c r="C172" s="115">
        <v>90.0</v>
      </c>
      <c r="D172" s="116" t="s">
        <v>155</v>
      </c>
      <c r="E172" s="117">
        <v>88.0</v>
      </c>
      <c r="F172" s="118">
        <v>123492.0</v>
      </c>
    </row>
    <row r="173">
      <c r="A173" s="113"/>
      <c r="B173" s="114" t="s">
        <v>156</v>
      </c>
      <c r="C173" s="115">
        <v>72.0</v>
      </c>
      <c r="D173" s="120" t="s">
        <v>157</v>
      </c>
      <c r="E173" s="117">
        <v>102.0</v>
      </c>
      <c r="F173" s="118">
        <v>150242.0</v>
      </c>
    </row>
    <row r="174">
      <c r="A174" s="113"/>
      <c r="B174" s="121">
        <v>45925.0</v>
      </c>
      <c r="C174" s="115">
        <v>71.0</v>
      </c>
      <c r="D174" s="116" t="s">
        <v>158</v>
      </c>
      <c r="E174" s="117">
        <v>76.0</v>
      </c>
      <c r="F174" s="118">
        <v>109718.0</v>
      </c>
    </row>
    <row r="175">
      <c r="A175" s="113"/>
      <c r="B175" s="114" t="s">
        <v>159</v>
      </c>
      <c r="C175" s="115">
        <v>68.0</v>
      </c>
      <c r="D175" s="116" t="s">
        <v>160</v>
      </c>
      <c r="E175" s="117">
        <v>59.0</v>
      </c>
      <c r="F175" s="118">
        <v>88236.0</v>
      </c>
    </row>
    <row r="176">
      <c r="A176" s="113"/>
      <c r="B176" s="114" t="s">
        <v>161</v>
      </c>
      <c r="C176" s="115">
        <v>60.0</v>
      </c>
      <c r="D176" s="116" t="s">
        <v>162</v>
      </c>
      <c r="E176" s="117">
        <v>55.0</v>
      </c>
      <c r="F176" s="118">
        <v>84832.0</v>
      </c>
    </row>
    <row r="177">
      <c r="A177" s="113"/>
      <c r="B177" s="114" t="s">
        <v>163</v>
      </c>
      <c r="C177" s="115">
        <v>56.0</v>
      </c>
      <c r="D177" s="116" t="s">
        <v>164</v>
      </c>
      <c r="E177" s="117">
        <v>61.0</v>
      </c>
      <c r="F177" s="118">
        <v>87234.0</v>
      </c>
    </row>
    <row r="178">
      <c r="A178" s="113"/>
      <c r="B178" s="114" t="s">
        <v>165</v>
      </c>
      <c r="C178" s="115">
        <v>46.0</v>
      </c>
      <c r="D178" s="116" t="s">
        <v>166</v>
      </c>
      <c r="E178" s="117">
        <v>49.0</v>
      </c>
      <c r="F178" s="118">
        <v>58024.0</v>
      </c>
    </row>
    <row r="179">
      <c r="A179" s="113"/>
      <c r="B179" s="114" t="s">
        <v>167</v>
      </c>
      <c r="C179" s="115">
        <v>45.0</v>
      </c>
      <c r="D179" s="116" t="s">
        <v>168</v>
      </c>
      <c r="E179" s="117">
        <v>45.0</v>
      </c>
      <c r="F179" s="118">
        <v>56223.0</v>
      </c>
    </row>
    <row r="180">
      <c r="A180" s="113"/>
      <c r="B180" s="114" t="s">
        <v>169</v>
      </c>
      <c r="C180" s="115">
        <v>45.0</v>
      </c>
      <c r="D180" s="116" t="s">
        <v>170</v>
      </c>
      <c r="E180" s="117">
        <v>54.0</v>
      </c>
      <c r="F180" s="118">
        <v>89902.0</v>
      </c>
    </row>
    <row r="181">
      <c r="A181" s="113"/>
      <c r="B181" s="114" t="s">
        <v>171</v>
      </c>
      <c r="C181" s="115">
        <v>43.0</v>
      </c>
      <c r="D181" s="116" t="s">
        <v>172</v>
      </c>
      <c r="E181" s="117">
        <v>39.0</v>
      </c>
      <c r="F181" s="118">
        <v>62002.0</v>
      </c>
    </row>
    <row r="182">
      <c r="A182" s="113"/>
      <c r="B182" s="114" t="s">
        <v>173</v>
      </c>
      <c r="C182" s="115">
        <v>28.0</v>
      </c>
      <c r="D182" s="116" t="s">
        <v>174</v>
      </c>
      <c r="E182" s="117">
        <v>22.0</v>
      </c>
      <c r="F182" s="118">
        <v>31694.0</v>
      </c>
    </row>
    <row r="183">
      <c r="A183" s="113"/>
      <c r="B183" s="114" t="s">
        <v>175</v>
      </c>
      <c r="C183" s="115">
        <v>26.0</v>
      </c>
      <c r="D183" s="116" t="s">
        <v>176</v>
      </c>
      <c r="E183" s="117">
        <v>31.0</v>
      </c>
      <c r="F183" s="118">
        <v>58769.0</v>
      </c>
    </row>
    <row r="184">
      <c r="A184" s="113"/>
      <c r="B184" s="114" t="s">
        <v>177</v>
      </c>
      <c r="C184" s="115">
        <v>25.0</v>
      </c>
      <c r="D184" s="116" t="s">
        <v>178</v>
      </c>
      <c r="E184" s="117">
        <v>21.0</v>
      </c>
      <c r="F184" s="118">
        <v>29982.0</v>
      </c>
    </row>
    <row r="185">
      <c r="A185" s="113"/>
      <c r="B185" s="114" t="s">
        <v>179</v>
      </c>
      <c r="C185" s="115">
        <v>23.0</v>
      </c>
      <c r="D185" s="116" t="s">
        <v>180</v>
      </c>
      <c r="E185" s="117">
        <v>19.0</v>
      </c>
      <c r="F185" s="118">
        <v>39956.0</v>
      </c>
    </row>
    <row r="186">
      <c r="A186" s="113"/>
      <c r="B186" s="114" t="s">
        <v>181</v>
      </c>
      <c r="C186" s="115">
        <v>17.0</v>
      </c>
      <c r="D186" s="116" t="s">
        <v>182</v>
      </c>
      <c r="E186" s="117">
        <v>8.0</v>
      </c>
      <c r="F186" s="118">
        <v>12114.0</v>
      </c>
    </row>
    <row r="187">
      <c r="A187" s="113"/>
      <c r="B187" s="114" t="s">
        <v>183</v>
      </c>
      <c r="C187" s="115">
        <v>17.0</v>
      </c>
      <c r="D187" s="116" t="s">
        <v>184</v>
      </c>
      <c r="E187" s="117">
        <v>21.0</v>
      </c>
      <c r="F187" s="118">
        <v>47517.0</v>
      </c>
    </row>
    <row r="188">
      <c r="A188" s="113"/>
      <c r="B188" s="114" t="s">
        <v>185</v>
      </c>
      <c r="C188" s="115">
        <v>16.0</v>
      </c>
      <c r="D188" s="116" t="s">
        <v>186</v>
      </c>
      <c r="E188" s="117">
        <v>8.0</v>
      </c>
      <c r="F188" s="118">
        <v>19712.0</v>
      </c>
    </row>
    <row r="189">
      <c r="A189" s="113"/>
      <c r="B189" s="114" t="s">
        <v>187</v>
      </c>
      <c r="C189" s="115">
        <v>16.0</v>
      </c>
      <c r="D189" s="120" t="s">
        <v>188</v>
      </c>
      <c r="E189" s="117">
        <v>10.0</v>
      </c>
      <c r="F189" s="118">
        <v>19113.0</v>
      </c>
    </row>
    <row r="190">
      <c r="A190" s="113"/>
      <c r="B190" s="114" t="s">
        <v>189</v>
      </c>
      <c r="C190" s="115">
        <v>10.0</v>
      </c>
      <c r="D190" s="116" t="s">
        <v>190</v>
      </c>
      <c r="E190" s="117">
        <v>7.0</v>
      </c>
      <c r="F190" s="118">
        <v>8362.0</v>
      </c>
    </row>
    <row r="191">
      <c r="A191" s="113"/>
      <c r="B191" s="114" t="s">
        <v>191</v>
      </c>
      <c r="C191" s="115">
        <v>9.0</v>
      </c>
      <c r="D191" s="116" t="s">
        <v>192</v>
      </c>
      <c r="E191" s="117">
        <v>13.0</v>
      </c>
      <c r="F191" s="118">
        <v>25080.0</v>
      </c>
    </row>
    <row r="192">
      <c r="A192" s="113"/>
      <c r="B192" s="114" t="s">
        <v>193</v>
      </c>
      <c r="C192" s="115">
        <v>8.0</v>
      </c>
      <c r="D192" s="116" t="s">
        <v>194</v>
      </c>
      <c r="E192" s="117">
        <v>22.0</v>
      </c>
      <c r="F192" s="118">
        <v>39533.0</v>
      </c>
    </row>
    <row r="193">
      <c r="A193" s="113"/>
      <c r="B193" s="114" t="s">
        <v>195</v>
      </c>
      <c r="C193" s="115">
        <v>7.0</v>
      </c>
      <c r="D193" s="116" t="s">
        <v>196</v>
      </c>
      <c r="E193" s="117">
        <v>5.0</v>
      </c>
      <c r="F193" s="118">
        <v>12598.0</v>
      </c>
    </row>
    <row r="194">
      <c r="A194" s="113"/>
      <c r="B194" s="114" t="s">
        <v>197</v>
      </c>
      <c r="C194" s="115">
        <v>7.0</v>
      </c>
      <c r="D194" s="120" t="s">
        <v>198</v>
      </c>
      <c r="E194" s="117">
        <v>8.0</v>
      </c>
      <c r="F194" s="118">
        <v>1382.0</v>
      </c>
    </row>
    <row r="195">
      <c r="A195" s="113"/>
      <c r="B195" s="114" t="s">
        <v>199</v>
      </c>
      <c r="C195" s="115">
        <v>6.0</v>
      </c>
      <c r="D195" s="116" t="s">
        <v>200</v>
      </c>
      <c r="E195" s="117">
        <v>5.0</v>
      </c>
      <c r="F195" s="118">
        <v>4729.0</v>
      </c>
    </row>
    <row r="196">
      <c r="A196" s="113"/>
      <c r="B196" s="114" t="s">
        <v>201</v>
      </c>
      <c r="C196" s="115">
        <v>3.0</v>
      </c>
      <c r="D196" s="116" t="s">
        <v>202</v>
      </c>
      <c r="E196" s="117">
        <v>9.0</v>
      </c>
      <c r="F196" s="118">
        <v>17968.0</v>
      </c>
    </row>
    <row r="197">
      <c r="A197" s="113"/>
      <c r="B197" s="114" t="s">
        <v>203</v>
      </c>
      <c r="C197" s="115">
        <v>2.0</v>
      </c>
      <c r="D197" s="120" t="s">
        <v>204</v>
      </c>
      <c r="E197" s="117">
        <v>5.0</v>
      </c>
      <c r="F197" s="118">
        <v>27829.0</v>
      </c>
    </row>
    <row r="198">
      <c r="A198" s="122"/>
      <c r="B198" s="123" t="s">
        <v>205</v>
      </c>
      <c r="C198" s="124">
        <v>1.0</v>
      </c>
      <c r="D198" s="125">
        <v>929.0</v>
      </c>
      <c r="E198" s="117">
        <v>1.0</v>
      </c>
      <c r="F198" s="126">
        <v>1382.0</v>
      </c>
    </row>
    <row r="199">
      <c r="A199" s="127"/>
      <c r="B199" s="128"/>
      <c r="C199" s="129"/>
      <c r="D199" s="129"/>
      <c r="E199" s="130"/>
      <c r="F199" s="131"/>
    </row>
    <row r="200">
      <c r="A200" s="132" t="s">
        <v>125</v>
      </c>
      <c r="B200" s="105" t="s">
        <v>126</v>
      </c>
      <c r="C200" s="106" t="s">
        <v>127</v>
      </c>
      <c r="D200" s="106" t="s">
        <v>128</v>
      </c>
      <c r="E200" s="133" t="s">
        <v>129</v>
      </c>
      <c r="F200" s="133" t="s">
        <v>130</v>
      </c>
    </row>
    <row r="201">
      <c r="A201" s="134" t="s">
        <v>206</v>
      </c>
      <c r="B201" s="135"/>
      <c r="C201" s="136">
        <f t="shared" ref="C201:D201" si="92">SUM(C202:C249)</f>
        <v>3210</v>
      </c>
      <c r="D201" s="137">
        <f t="shared" si="92"/>
        <v>4667316</v>
      </c>
      <c r="E201" s="138">
        <v>3501.0</v>
      </c>
      <c r="F201" s="139">
        <v>5335797.0</v>
      </c>
    </row>
    <row r="202">
      <c r="A202" s="140"/>
      <c r="B202" s="141" t="s">
        <v>207</v>
      </c>
      <c r="C202" s="136">
        <v>436.0</v>
      </c>
      <c r="D202" s="137">
        <v>626154.0</v>
      </c>
      <c r="E202" s="142">
        <v>451.0</v>
      </c>
      <c r="F202" s="139">
        <v>631047.0</v>
      </c>
    </row>
    <row r="203">
      <c r="A203" s="140"/>
      <c r="B203" s="141" t="s">
        <v>208</v>
      </c>
      <c r="C203" s="136">
        <v>314.0</v>
      </c>
      <c r="D203" s="137">
        <v>486522.0</v>
      </c>
      <c r="E203" s="142">
        <v>305.0</v>
      </c>
      <c r="F203" s="139">
        <v>451635.0</v>
      </c>
    </row>
    <row r="204">
      <c r="A204" s="140"/>
      <c r="B204" s="141" t="s">
        <v>209</v>
      </c>
      <c r="C204" s="136">
        <v>299.0</v>
      </c>
      <c r="D204" s="137">
        <v>484118.0</v>
      </c>
      <c r="E204" s="142">
        <v>327.0</v>
      </c>
      <c r="F204" s="139">
        <v>490653.0</v>
      </c>
    </row>
    <row r="205">
      <c r="A205" s="140"/>
      <c r="B205" s="141" t="s">
        <v>210</v>
      </c>
      <c r="C205" s="136">
        <v>234.0</v>
      </c>
      <c r="D205" s="137" t="s">
        <v>211</v>
      </c>
      <c r="E205" s="142">
        <v>276.0</v>
      </c>
      <c r="F205" s="139">
        <v>401363.0</v>
      </c>
    </row>
    <row r="206">
      <c r="A206" s="140"/>
      <c r="B206" s="141" t="s">
        <v>212</v>
      </c>
      <c r="C206" s="136">
        <v>225.0</v>
      </c>
      <c r="D206" s="137">
        <v>329165.0</v>
      </c>
      <c r="E206" s="142">
        <v>210.0</v>
      </c>
      <c r="F206" s="139">
        <v>309572.0</v>
      </c>
    </row>
    <row r="207">
      <c r="A207" s="140"/>
      <c r="B207" s="141" t="s">
        <v>213</v>
      </c>
      <c r="C207" s="136">
        <v>157.0</v>
      </c>
      <c r="D207" s="137">
        <v>240479.0</v>
      </c>
      <c r="E207" s="142">
        <v>172.0</v>
      </c>
      <c r="F207" s="139">
        <v>246578.0</v>
      </c>
    </row>
    <row r="208">
      <c r="A208" s="140"/>
      <c r="B208" s="141" t="s">
        <v>214</v>
      </c>
      <c r="C208" s="136">
        <v>156.0</v>
      </c>
      <c r="D208" s="137">
        <v>251520.0</v>
      </c>
      <c r="E208" s="142">
        <v>199.0</v>
      </c>
      <c r="F208" s="139">
        <v>313309.0</v>
      </c>
    </row>
    <row r="209">
      <c r="A209" s="140"/>
      <c r="B209" s="141" t="s">
        <v>215</v>
      </c>
      <c r="C209" s="136">
        <v>153.0</v>
      </c>
      <c r="D209" s="137">
        <v>228999.0</v>
      </c>
      <c r="E209" s="142">
        <v>137.0</v>
      </c>
      <c r="F209" s="139">
        <v>199382.0</v>
      </c>
    </row>
    <row r="210">
      <c r="A210" s="140"/>
      <c r="B210" s="141" t="s">
        <v>216</v>
      </c>
      <c r="C210" s="136">
        <v>140.0</v>
      </c>
      <c r="D210" s="137">
        <v>203633.0</v>
      </c>
      <c r="E210" s="142">
        <v>168.0</v>
      </c>
      <c r="F210" s="139">
        <v>238788.0</v>
      </c>
    </row>
    <row r="211">
      <c r="A211" s="140"/>
      <c r="B211" s="141" t="s">
        <v>217</v>
      </c>
      <c r="C211" s="136">
        <v>136.0</v>
      </c>
      <c r="D211" s="137">
        <v>208269.0</v>
      </c>
      <c r="E211" s="142">
        <v>152.0</v>
      </c>
      <c r="F211" s="139">
        <v>236529.0</v>
      </c>
    </row>
    <row r="212">
      <c r="A212" s="140"/>
      <c r="B212" s="141" t="s">
        <v>218</v>
      </c>
      <c r="C212" s="136">
        <v>119.0</v>
      </c>
      <c r="D212" s="137">
        <v>182569.0</v>
      </c>
      <c r="E212" s="142">
        <v>126.0</v>
      </c>
      <c r="F212" s="139">
        <v>180459.0</v>
      </c>
    </row>
    <row r="213">
      <c r="A213" s="140"/>
      <c r="B213" s="141" t="s">
        <v>219</v>
      </c>
      <c r="C213" s="136">
        <v>108.0</v>
      </c>
      <c r="D213" s="137">
        <v>168944.0</v>
      </c>
      <c r="E213" s="142">
        <v>139.0</v>
      </c>
      <c r="F213" s="139">
        <v>234601.0</v>
      </c>
    </row>
    <row r="214">
      <c r="A214" s="140"/>
      <c r="B214" s="141" t="s">
        <v>220</v>
      </c>
      <c r="C214" s="136">
        <v>87.0</v>
      </c>
      <c r="D214" s="137">
        <v>139557.0</v>
      </c>
      <c r="E214" s="142">
        <v>71.0</v>
      </c>
      <c r="F214" s="139">
        <v>118095.0</v>
      </c>
    </row>
    <row r="215">
      <c r="A215" s="140"/>
      <c r="B215" s="141" t="s">
        <v>221</v>
      </c>
      <c r="C215" s="136">
        <v>71.0</v>
      </c>
      <c r="D215" s="137">
        <v>103166.0</v>
      </c>
      <c r="E215" s="142">
        <v>68.0</v>
      </c>
      <c r="F215" s="139">
        <v>110147.0</v>
      </c>
    </row>
    <row r="216">
      <c r="A216" s="140"/>
      <c r="B216" s="141" t="s">
        <v>222</v>
      </c>
      <c r="C216" s="136">
        <v>48.0</v>
      </c>
      <c r="D216" s="137">
        <v>84075.0</v>
      </c>
      <c r="E216" s="142">
        <v>38.0</v>
      </c>
      <c r="F216" s="139">
        <v>59299.0</v>
      </c>
    </row>
    <row r="217">
      <c r="A217" s="140"/>
      <c r="B217" s="141" t="s">
        <v>223</v>
      </c>
      <c r="C217" s="136">
        <v>47.0</v>
      </c>
      <c r="D217" s="137">
        <v>107126.0</v>
      </c>
      <c r="E217" s="142">
        <v>40.0</v>
      </c>
      <c r="F217" s="139">
        <v>66659.0</v>
      </c>
    </row>
    <row r="218">
      <c r="A218" s="140"/>
      <c r="B218" s="141" t="s">
        <v>224</v>
      </c>
      <c r="C218" s="136">
        <v>39.0</v>
      </c>
      <c r="D218" s="137">
        <v>87583.0</v>
      </c>
      <c r="E218" s="142">
        <v>46.0</v>
      </c>
      <c r="F218" s="139">
        <v>84144.0</v>
      </c>
    </row>
    <row r="219">
      <c r="A219" s="140"/>
      <c r="B219" s="141" t="s">
        <v>225</v>
      </c>
      <c r="C219" s="136">
        <v>35.0</v>
      </c>
      <c r="D219" s="137">
        <v>64706.0</v>
      </c>
      <c r="E219" s="142">
        <v>43.0</v>
      </c>
      <c r="F219" s="139">
        <v>71253.0</v>
      </c>
    </row>
    <row r="220">
      <c r="A220" s="140"/>
      <c r="B220" s="141" t="s">
        <v>226</v>
      </c>
      <c r="C220" s="136">
        <v>35.0</v>
      </c>
      <c r="D220" s="137">
        <v>47244.0</v>
      </c>
      <c r="E220" s="142">
        <v>57.0</v>
      </c>
      <c r="F220" s="139">
        <v>78815.0</v>
      </c>
    </row>
    <row r="221">
      <c r="A221" s="140"/>
      <c r="B221" s="141" t="s">
        <v>227</v>
      </c>
      <c r="C221" s="136">
        <v>32.0</v>
      </c>
      <c r="D221" s="137">
        <v>51376.0</v>
      </c>
      <c r="E221" s="142">
        <v>34.0</v>
      </c>
      <c r="F221" s="139">
        <v>56877.0</v>
      </c>
    </row>
    <row r="222">
      <c r="A222" s="140"/>
      <c r="B222" s="141" t="s">
        <v>228</v>
      </c>
      <c r="C222" s="136">
        <v>31.0</v>
      </c>
      <c r="D222" s="137">
        <v>75063.0</v>
      </c>
      <c r="E222" s="142">
        <v>36.0</v>
      </c>
      <c r="F222" s="139">
        <v>78048.0</v>
      </c>
    </row>
    <row r="223">
      <c r="A223" s="140"/>
      <c r="B223" s="141" t="s">
        <v>229</v>
      </c>
      <c r="C223" s="136">
        <v>31.0</v>
      </c>
      <c r="D223" s="137">
        <v>46038.0</v>
      </c>
      <c r="E223" s="142">
        <v>41.0</v>
      </c>
      <c r="F223" s="139">
        <v>60120.0</v>
      </c>
    </row>
    <row r="224">
      <c r="A224" s="140"/>
      <c r="B224" s="141" t="s">
        <v>230</v>
      </c>
      <c r="C224" s="136">
        <v>30.0</v>
      </c>
      <c r="D224" s="137">
        <v>42664.0</v>
      </c>
      <c r="E224" s="142">
        <v>27.0</v>
      </c>
      <c r="F224" s="139">
        <v>55680.0</v>
      </c>
    </row>
    <row r="225">
      <c r="A225" s="140"/>
      <c r="B225" s="141" t="s">
        <v>231</v>
      </c>
      <c r="C225" s="136">
        <v>24.0</v>
      </c>
      <c r="D225" s="137">
        <v>42769.0</v>
      </c>
      <c r="E225" s="142">
        <v>28.0</v>
      </c>
      <c r="F225" s="139">
        <v>43368.0</v>
      </c>
    </row>
    <row r="226">
      <c r="A226" s="140"/>
      <c r="B226" s="141" t="s">
        <v>232</v>
      </c>
      <c r="C226" s="136">
        <v>23.0</v>
      </c>
      <c r="D226" s="137">
        <v>32110.0</v>
      </c>
      <c r="E226" s="142">
        <v>32.0</v>
      </c>
      <c r="F226" s="139">
        <v>46768.0</v>
      </c>
    </row>
    <row r="227">
      <c r="A227" s="140"/>
      <c r="B227" s="141" t="s">
        <v>233</v>
      </c>
      <c r="C227" s="136">
        <v>23.0</v>
      </c>
      <c r="D227" s="137">
        <v>40323.0</v>
      </c>
      <c r="E227" s="142">
        <v>44.0</v>
      </c>
      <c r="F227" s="139">
        <v>81013.0</v>
      </c>
    </row>
    <row r="228">
      <c r="A228" s="140"/>
      <c r="B228" s="141" t="s">
        <v>234</v>
      </c>
      <c r="C228" s="136">
        <v>20.0</v>
      </c>
      <c r="D228" s="137">
        <v>27809.0</v>
      </c>
      <c r="E228" s="142">
        <v>28.0</v>
      </c>
      <c r="F228" s="139">
        <v>44468.0</v>
      </c>
    </row>
    <row r="229">
      <c r="A229" s="140"/>
      <c r="B229" s="141" t="s">
        <v>235</v>
      </c>
      <c r="C229" s="136">
        <v>19.0</v>
      </c>
      <c r="D229" s="137">
        <v>29959.0</v>
      </c>
      <c r="E229" s="142">
        <v>20.0</v>
      </c>
      <c r="F229" s="139">
        <v>27998.0</v>
      </c>
    </row>
    <row r="230">
      <c r="A230" s="140"/>
      <c r="B230" s="141" t="s">
        <v>236</v>
      </c>
      <c r="C230" s="136">
        <v>17.0</v>
      </c>
      <c r="D230" s="137">
        <v>30751.0</v>
      </c>
      <c r="E230" s="142">
        <v>9.0</v>
      </c>
      <c r="F230" s="139">
        <v>16062.0</v>
      </c>
    </row>
    <row r="231">
      <c r="A231" s="140"/>
      <c r="B231" s="141" t="s">
        <v>237</v>
      </c>
      <c r="C231" s="136">
        <v>16.0</v>
      </c>
      <c r="D231" s="137">
        <v>25464.0</v>
      </c>
      <c r="E231" s="142">
        <v>10.0</v>
      </c>
      <c r="F231" s="139">
        <v>15378.0</v>
      </c>
    </row>
    <row r="232">
      <c r="A232" s="140"/>
      <c r="B232" s="141" t="s">
        <v>238</v>
      </c>
      <c r="C232" s="136">
        <v>13.0</v>
      </c>
      <c r="D232" s="137">
        <v>17206.0</v>
      </c>
      <c r="E232" s="142">
        <v>21.0</v>
      </c>
      <c r="F232" s="139">
        <v>30776.0</v>
      </c>
    </row>
    <row r="233">
      <c r="A233" s="140"/>
      <c r="B233" s="141" t="s">
        <v>239</v>
      </c>
      <c r="C233" s="136">
        <v>13.0</v>
      </c>
      <c r="D233" s="137">
        <v>26318.0</v>
      </c>
      <c r="E233" s="142">
        <v>22.0</v>
      </c>
      <c r="F233" s="139">
        <v>40942.0</v>
      </c>
    </row>
    <row r="234">
      <c r="A234" s="140"/>
      <c r="B234" s="143" t="s">
        <v>240</v>
      </c>
      <c r="C234" s="136">
        <v>12.0</v>
      </c>
      <c r="D234" s="137">
        <v>19872.0</v>
      </c>
      <c r="E234" s="142">
        <v>19.0</v>
      </c>
      <c r="F234" s="139">
        <v>27744.0</v>
      </c>
    </row>
    <row r="235">
      <c r="A235" s="140"/>
      <c r="B235" s="141" t="s">
        <v>241</v>
      </c>
      <c r="C235" s="136">
        <v>11.0</v>
      </c>
      <c r="D235" s="137">
        <v>21089.0</v>
      </c>
      <c r="E235" s="142">
        <v>5.0</v>
      </c>
      <c r="F235" s="139">
        <v>9959.0</v>
      </c>
    </row>
    <row r="236">
      <c r="A236" s="140"/>
      <c r="B236" s="141" t="s">
        <v>242</v>
      </c>
      <c r="C236" s="136">
        <v>8.0</v>
      </c>
      <c r="D236" s="137">
        <v>20918.0</v>
      </c>
      <c r="E236" s="142">
        <v>8.0</v>
      </c>
      <c r="F236" s="139">
        <v>21016.0</v>
      </c>
    </row>
    <row r="237">
      <c r="A237" s="140"/>
      <c r="B237" s="141" t="s">
        <v>243</v>
      </c>
      <c r="C237" s="136">
        <v>8.0</v>
      </c>
      <c r="D237" s="137">
        <v>10938.0</v>
      </c>
      <c r="E237" s="142">
        <v>21.0</v>
      </c>
      <c r="F237" s="139">
        <v>29809.0</v>
      </c>
    </row>
    <row r="238">
      <c r="A238" s="140"/>
      <c r="B238" s="141" t="s">
        <v>244</v>
      </c>
      <c r="C238" s="136">
        <v>7.0</v>
      </c>
      <c r="D238" s="137">
        <v>8330.0</v>
      </c>
      <c r="E238" s="142">
        <v>15.0</v>
      </c>
      <c r="F238" s="139">
        <v>19341.0</v>
      </c>
    </row>
    <row r="239">
      <c r="A239" s="140"/>
      <c r="B239" s="141" t="s">
        <v>245</v>
      </c>
      <c r="C239" s="136">
        <v>6.0</v>
      </c>
      <c r="D239" s="137">
        <v>11750.0</v>
      </c>
      <c r="E239" s="142">
        <v>16.0</v>
      </c>
      <c r="F239" s="139">
        <v>28963.0</v>
      </c>
    </row>
    <row r="240">
      <c r="A240" s="140"/>
      <c r="B240" s="141" t="s">
        <v>246</v>
      </c>
      <c r="C240" s="136">
        <v>6.0</v>
      </c>
      <c r="D240" s="137">
        <v>9236.0</v>
      </c>
      <c r="E240" s="142">
        <v>5.0</v>
      </c>
      <c r="F240" s="139">
        <v>8953.0</v>
      </c>
    </row>
    <row r="241">
      <c r="A241" s="140"/>
      <c r="B241" s="141" t="s">
        <v>247</v>
      </c>
      <c r="C241" s="136">
        <v>5.0</v>
      </c>
      <c r="D241" s="137">
        <v>11350.0</v>
      </c>
      <c r="E241" s="142">
        <v>8.0</v>
      </c>
      <c r="F241" s="139">
        <v>20483.0</v>
      </c>
    </row>
    <row r="242">
      <c r="A242" s="140"/>
      <c r="B242" s="141" t="s">
        <v>248</v>
      </c>
      <c r="C242" s="136">
        <v>5.0</v>
      </c>
      <c r="D242" s="137" t="s">
        <v>249</v>
      </c>
      <c r="E242" s="144">
        <v>2.0</v>
      </c>
      <c r="F242" s="139">
        <v>2168.0</v>
      </c>
    </row>
    <row r="243">
      <c r="A243" s="140"/>
      <c r="B243" s="141" t="s">
        <v>250</v>
      </c>
      <c r="C243" s="136">
        <v>4.0</v>
      </c>
      <c r="D243" s="137">
        <v>9908.0</v>
      </c>
      <c r="E243" s="142"/>
      <c r="F243" s="139"/>
    </row>
    <row r="244">
      <c r="A244" s="140"/>
      <c r="B244" s="141" t="s">
        <v>251</v>
      </c>
      <c r="C244" s="136">
        <v>3.0</v>
      </c>
      <c r="D244" s="137">
        <v>6126.0</v>
      </c>
      <c r="E244" s="144">
        <v>3.0</v>
      </c>
      <c r="F244" s="139">
        <v>5085.0</v>
      </c>
    </row>
    <row r="245">
      <c r="A245" s="140"/>
      <c r="B245" s="141" t="s">
        <v>252</v>
      </c>
      <c r="C245" s="136">
        <v>1.0</v>
      </c>
      <c r="D245" s="137">
        <v>1224.0</v>
      </c>
      <c r="E245" s="142">
        <v>2.0</v>
      </c>
      <c r="F245" s="139">
        <v>3090.0</v>
      </c>
    </row>
    <row r="246">
      <c r="A246" s="140"/>
      <c r="B246" s="143" t="s">
        <v>253</v>
      </c>
      <c r="C246" s="136">
        <v>1.0</v>
      </c>
      <c r="D246" s="137">
        <v>1109.0</v>
      </c>
      <c r="E246" s="142">
        <v>6.0</v>
      </c>
      <c r="F246" s="139">
        <v>7328.0</v>
      </c>
    </row>
    <row r="247">
      <c r="A247" s="140"/>
      <c r="B247" s="141" t="s">
        <v>254</v>
      </c>
      <c r="C247" s="136">
        <v>1.0</v>
      </c>
      <c r="D247" s="137">
        <v>2014.0</v>
      </c>
      <c r="E247" s="142">
        <v>1.0</v>
      </c>
      <c r="F247" s="139">
        <v>4749.0</v>
      </c>
    </row>
    <row r="248">
      <c r="A248" s="140"/>
      <c r="B248" s="141" t="s">
        <v>255</v>
      </c>
      <c r="C248" s="136">
        <v>1.0</v>
      </c>
      <c r="D248" s="137">
        <v>1773.0</v>
      </c>
      <c r="E248" s="142">
        <v>5.0</v>
      </c>
      <c r="F248" s="139">
        <v>15175.0</v>
      </c>
    </row>
    <row r="249">
      <c r="A249" s="140"/>
      <c r="B249" s="141" t="s">
        <v>256</v>
      </c>
      <c r="C249" s="136"/>
      <c r="D249" s="137"/>
      <c r="E249" s="142">
        <v>2.0</v>
      </c>
      <c r="F249" s="139">
        <v>3201.0</v>
      </c>
    </row>
  </sheetData>
  <mergeCells count="12">
    <mergeCell ref="E62:G65"/>
    <mergeCell ref="F66:N106"/>
    <mergeCell ref="A110:D110"/>
    <mergeCell ref="A160:A198"/>
    <mergeCell ref="A201:A249"/>
    <mergeCell ref="A2:G3"/>
    <mergeCell ref="A8:G9"/>
    <mergeCell ref="C14:E14"/>
    <mergeCell ref="F14:G14"/>
    <mergeCell ref="H14:I14"/>
    <mergeCell ref="A56:G57"/>
    <mergeCell ref="A66:D66"/>
  </mergeCells>
  <conditionalFormatting sqref="F5:G6 F11:G12 F59:G60 G59:G60">
    <cfRule type="cellIs" dxfId="0" priority="1" operator="greaterThanOrEqual">
      <formula>"100%"</formula>
    </cfRule>
  </conditionalFormatting>
  <conditionalFormatting sqref="F5:G6 F11:G12 F59:G60 F60:G60 G59">
    <cfRule type="cellIs" dxfId="1" priority="2" operator="lessThan">
      <formula>"100%"</formula>
    </cfRule>
  </conditionalFormatting>
  <conditionalFormatting sqref="C201:C249">
    <cfRule type="cellIs" dxfId="2" priority="3" operator="greaterThan">
      <formula>$E201</formula>
    </cfRule>
  </conditionalFormatting>
  <conditionalFormatting sqref="C201:C249">
    <cfRule type="cellIs" dxfId="1" priority="4" operator="lessThan">
      <formula>$E201</formula>
    </cfRule>
  </conditionalFormatting>
  <conditionalFormatting sqref="E201:E249">
    <cfRule type="cellIs" dxfId="2" priority="5" operator="greaterThan">
      <formula>$C201</formula>
    </cfRule>
  </conditionalFormatting>
  <conditionalFormatting sqref="E201:E249">
    <cfRule type="cellIs" dxfId="1" priority="6" operator="lessThan">
      <formula>$C201</formula>
    </cfRule>
  </conditionalFormatting>
  <conditionalFormatting sqref="J173">
    <cfRule type="notContainsBlanks" dxfId="3" priority="7">
      <formula>LEN(TRIM(J173))&gt;0</formula>
    </cfRule>
  </conditionalFormatting>
  <conditionalFormatting sqref="E161:E198">
    <cfRule type="cellIs" dxfId="2" priority="8" operator="greaterThan">
      <formula>$C161</formula>
    </cfRule>
  </conditionalFormatting>
  <conditionalFormatting sqref="E161:E198">
    <cfRule type="cellIs" dxfId="1" priority="9" operator="lessThan">
      <formula>$C161</formula>
    </cfRule>
  </conditionalFormatting>
  <conditionalFormatting sqref="C161:C198">
    <cfRule type="cellIs" dxfId="2" priority="10" operator="greaterThan">
      <formula>$E161</formula>
    </cfRule>
  </conditionalFormatting>
  <conditionalFormatting sqref="C161:C198">
    <cfRule type="cellIs" dxfId="4" priority="11" operator="lessThan">
      <formula>$E161</formula>
    </cfRule>
  </conditionalFormatting>
  <conditionalFormatting sqref="C201:C249">
    <cfRule type="notContainsBlanks" dxfId="3" priority="12">
      <formula>LEN(TRIM(C201))&gt;0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3.5"/>
    <col customWidth="1" min="3" max="3" width="21.88"/>
    <col customWidth="1" min="4" max="4" width="27.75"/>
    <col customWidth="1" min="7" max="7" width="36.0"/>
    <col customWidth="1" min="8" max="8" width="20.13"/>
    <col customWidth="1" min="9" max="9" width="17.75"/>
    <col customWidth="1" min="10" max="10" width="26.0"/>
    <col customWidth="1" min="19" max="19" width="21.25"/>
    <col customWidth="1" min="21" max="21" width="20.88"/>
  </cols>
  <sheetData>
    <row r="3">
      <c r="J3" s="145" t="s">
        <v>257</v>
      </c>
    </row>
    <row r="43">
      <c r="O43" s="146" t="s">
        <v>258</v>
      </c>
    </row>
    <row r="49" ht="22.5" customHeight="1"/>
    <row r="66">
      <c r="A66" s="2" t="s">
        <v>259</v>
      </c>
      <c r="B66" s="3"/>
      <c r="C66" s="3"/>
      <c r="D66" s="4"/>
    </row>
    <row r="67">
      <c r="A67" s="6"/>
      <c r="B67" s="7"/>
      <c r="C67" s="7"/>
      <c r="D67" s="8"/>
    </row>
    <row r="68">
      <c r="A68" s="24"/>
      <c r="B68" s="147" t="s">
        <v>79</v>
      </c>
      <c r="C68" s="148" t="s">
        <v>83</v>
      </c>
      <c r="D68" s="10" t="s">
        <v>260</v>
      </c>
    </row>
    <row r="69">
      <c r="A69" s="9" t="s">
        <v>261</v>
      </c>
      <c r="B69" s="148">
        <v>98801.0</v>
      </c>
      <c r="C69" s="148">
        <v>41839.0</v>
      </c>
      <c r="D69" s="15">
        <f t="shared" ref="D69:D76" si="1">C69/B69-100%</f>
        <v>-0.5765326262</v>
      </c>
    </row>
    <row r="70">
      <c r="A70" s="9" t="s">
        <v>262</v>
      </c>
      <c r="B70" s="148">
        <v>327300.0</v>
      </c>
      <c r="C70" s="148">
        <v>182683.0</v>
      </c>
      <c r="D70" s="15">
        <f t="shared" si="1"/>
        <v>-0.4418484571</v>
      </c>
    </row>
    <row r="71">
      <c r="A71" s="9" t="s">
        <v>263</v>
      </c>
      <c r="B71" s="148">
        <v>1378.0</v>
      </c>
      <c r="C71" s="148">
        <v>1413.0</v>
      </c>
      <c r="D71" s="149">
        <f t="shared" si="1"/>
        <v>0.02539912917</v>
      </c>
    </row>
    <row r="72">
      <c r="A72" s="9" t="s">
        <v>264</v>
      </c>
      <c r="B72" s="148">
        <v>427.0</v>
      </c>
      <c r="C72" s="148">
        <v>649.0</v>
      </c>
      <c r="D72" s="15">
        <f t="shared" si="1"/>
        <v>0.5199063232</v>
      </c>
    </row>
    <row r="73">
      <c r="A73" s="9" t="s">
        <v>265</v>
      </c>
      <c r="B73" s="148">
        <v>268.0</v>
      </c>
      <c r="C73" s="148">
        <v>125.0</v>
      </c>
      <c r="D73" s="15">
        <f t="shared" si="1"/>
        <v>-0.5335820896</v>
      </c>
    </row>
    <row r="74">
      <c r="A74" s="9" t="s">
        <v>266</v>
      </c>
      <c r="B74" s="148">
        <v>63.0</v>
      </c>
      <c r="C74" s="148">
        <v>101.0</v>
      </c>
      <c r="D74" s="15">
        <f t="shared" si="1"/>
        <v>0.6031746032</v>
      </c>
    </row>
    <row r="75">
      <c r="A75" s="9" t="s">
        <v>267</v>
      </c>
      <c r="B75" s="148">
        <v>12.0</v>
      </c>
      <c r="C75" s="148">
        <v>7.0</v>
      </c>
      <c r="D75" s="149">
        <f t="shared" si="1"/>
        <v>-0.4166666667</v>
      </c>
    </row>
    <row r="76">
      <c r="A76" s="9" t="s">
        <v>268</v>
      </c>
      <c r="B76" s="148">
        <v>7.0</v>
      </c>
      <c r="C76" s="148">
        <v>71.0</v>
      </c>
      <c r="D76" s="15">
        <f t="shared" si="1"/>
        <v>9.142857143</v>
      </c>
    </row>
    <row r="77">
      <c r="A77" s="20" t="s">
        <v>269</v>
      </c>
      <c r="B77" s="150">
        <f>(9179+268)/9179-100%</f>
        <v>0.02919708029</v>
      </c>
      <c r="C77" s="150">
        <f>(9482)/9447-100%</f>
        <v>0.003704879856</v>
      </c>
      <c r="D77" s="15">
        <f>C77-B77</f>
        <v>-0.02549220044</v>
      </c>
    </row>
    <row r="82">
      <c r="A82" s="2" t="s">
        <v>270</v>
      </c>
      <c r="B82" s="3"/>
      <c r="C82" s="3"/>
      <c r="D82" s="4"/>
      <c r="G82" s="151"/>
    </row>
    <row r="83">
      <c r="A83" s="6"/>
      <c r="B83" s="7"/>
      <c r="C83" s="7"/>
      <c r="D83" s="8"/>
    </row>
    <row r="84">
      <c r="A84" s="24"/>
      <c r="B84" s="152" t="s">
        <v>271</v>
      </c>
      <c r="C84" s="152" t="s">
        <v>272</v>
      </c>
      <c r="D84" s="10" t="s">
        <v>260</v>
      </c>
      <c r="G84" s="5"/>
      <c r="H84" s="153"/>
      <c r="I84" s="153"/>
      <c r="J84" s="154"/>
    </row>
    <row r="85">
      <c r="A85" s="20" t="s">
        <v>273</v>
      </c>
      <c r="B85" s="152">
        <v>5164.0</v>
      </c>
      <c r="C85" s="152">
        <v>2282.0</v>
      </c>
      <c r="D85" s="155">
        <f t="shared" ref="D85:D93" si="2">C85/B85-100%</f>
        <v>-0.5580945004</v>
      </c>
      <c r="G85" s="156"/>
      <c r="H85" s="153"/>
      <c r="I85" s="153"/>
      <c r="J85" s="157"/>
    </row>
    <row r="86">
      <c r="A86" s="20" t="s">
        <v>274</v>
      </c>
      <c r="B86" s="152">
        <v>492.0</v>
      </c>
      <c r="C86" s="152">
        <v>222.0</v>
      </c>
      <c r="D86" s="155">
        <f t="shared" si="2"/>
        <v>-0.5487804878</v>
      </c>
      <c r="G86" s="156"/>
      <c r="H86" s="153"/>
      <c r="I86" s="153"/>
      <c r="J86" s="157"/>
    </row>
    <row r="87">
      <c r="A87" s="20" t="s">
        <v>275</v>
      </c>
      <c r="B87" s="152">
        <v>9.53</v>
      </c>
      <c r="C87" s="152">
        <v>9.73</v>
      </c>
      <c r="D87" s="23">
        <f t="shared" si="2"/>
        <v>0.02098635887</v>
      </c>
      <c r="G87" s="156"/>
      <c r="H87" s="153"/>
      <c r="I87" s="153"/>
      <c r="J87" s="157"/>
    </row>
    <row r="88">
      <c r="A88" s="20" t="s">
        <v>276</v>
      </c>
      <c r="B88" s="152">
        <v>23850.0</v>
      </c>
      <c r="C88" s="152">
        <v>1500.0</v>
      </c>
      <c r="D88" s="23">
        <f t="shared" si="2"/>
        <v>-0.9371069182</v>
      </c>
      <c r="G88" s="156"/>
      <c r="H88" s="153"/>
      <c r="I88" s="153"/>
      <c r="J88" s="157"/>
    </row>
    <row r="89">
      <c r="A89" s="20" t="s">
        <v>277</v>
      </c>
      <c r="B89" s="152">
        <v>48.48</v>
      </c>
      <c r="C89" s="152">
        <v>6.76</v>
      </c>
      <c r="D89" s="23">
        <f t="shared" si="2"/>
        <v>-0.8605610561</v>
      </c>
      <c r="G89" s="156"/>
      <c r="H89" s="153"/>
      <c r="I89" s="153"/>
      <c r="J89" s="157"/>
    </row>
    <row r="90">
      <c r="A90" s="20" t="s">
        <v>278</v>
      </c>
      <c r="B90" s="152">
        <v>4.63</v>
      </c>
      <c r="C90" s="152">
        <v>2.05</v>
      </c>
      <c r="D90" s="23">
        <f t="shared" si="2"/>
        <v>-0.5572354212</v>
      </c>
      <c r="G90" s="156"/>
      <c r="H90" s="153"/>
      <c r="I90" s="153"/>
      <c r="J90" s="157"/>
    </row>
    <row r="91">
      <c r="A91" s="20" t="s">
        <v>279</v>
      </c>
      <c r="B91" s="152">
        <v>54.27</v>
      </c>
      <c r="C91" s="152">
        <v>45.5</v>
      </c>
      <c r="D91" s="23">
        <f t="shared" si="2"/>
        <v>-0.1615994104</v>
      </c>
      <c r="G91" s="156"/>
      <c r="H91" s="153"/>
      <c r="I91" s="153"/>
      <c r="J91" s="157"/>
    </row>
    <row r="92">
      <c r="A92" s="20" t="s">
        <v>280</v>
      </c>
      <c r="B92" s="152">
        <v>89.33</v>
      </c>
      <c r="C92" s="152">
        <v>14.85</v>
      </c>
      <c r="D92" s="23">
        <f t="shared" si="2"/>
        <v>-0.8337624538</v>
      </c>
      <c r="G92" s="154"/>
      <c r="H92" s="153"/>
      <c r="I92" s="153"/>
      <c r="J92" s="157"/>
    </row>
    <row r="93">
      <c r="A93" s="20" t="s">
        <v>281</v>
      </c>
      <c r="B93" s="152">
        <v>267.0</v>
      </c>
      <c r="C93" s="152">
        <v>101.0</v>
      </c>
      <c r="D93" s="23">
        <f t="shared" si="2"/>
        <v>-0.6217228464</v>
      </c>
    </row>
    <row r="94">
      <c r="A94" s="156"/>
      <c r="B94" s="153"/>
      <c r="C94" s="153"/>
      <c r="D94" s="157"/>
      <c r="G94" s="156"/>
      <c r="H94" s="156"/>
      <c r="I94" s="153"/>
      <c r="J94" s="157"/>
    </row>
    <row r="95">
      <c r="A95" s="156"/>
      <c r="B95" s="153"/>
      <c r="C95" s="153"/>
      <c r="D95" s="157"/>
      <c r="G95" s="156"/>
      <c r="H95" s="156"/>
      <c r="I95" s="153"/>
      <c r="J95" s="157"/>
    </row>
    <row r="96">
      <c r="A96" s="156"/>
      <c r="B96" s="153"/>
      <c r="C96" s="153"/>
      <c r="D96" s="157"/>
    </row>
    <row r="97">
      <c r="A97" s="156"/>
      <c r="B97" s="153"/>
      <c r="C97" s="153"/>
      <c r="D97" s="157"/>
      <c r="G97" s="156"/>
      <c r="H97" s="156"/>
      <c r="I97" s="153"/>
      <c r="J97" s="157"/>
    </row>
    <row r="100">
      <c r="A100" s="158" t="s">
        <v>282</v>
      </c>
      <c r="B100" s="3"/>
      <c r="C100" s="3"/>
      <c r="D100" s="4"/>
      <c r="E100" s="159"/>
      <c r="F100" s="159"/>
      <c r="G100" s="158" t="s">
        <v>283</v>
      </c>
      <c r="H100" s="3"/>
      <c r="I100" s="3"/>
      <c r="J100" s="4"/>
    </row>
    <row r="101">
      <c r="A101" s="6"/>
      <c r="B101" s="7"/>
      <c r="C101" s="7"/>
      <c r="D101" s="8"/>
      <c r="E101" s="159"/>
      <c r="F101" s="159"/>
      <c r="G101" s="6"/>
      <c r="H101" s="7"/>
      <c r="I101" s="7"/>
      <c r="J101" s="8"/>
    </row>
    <row r="102">
      <c r="A102" s="24"/>
      <c r="B102" s="152" t="s">
        <v>284</v>
      </c>
      <c r="C102" s="152" t="s">
        <v>285</v>
      </c>
      <c r="D102" s="10" t="s">
        <v>260</v>
      </c>
      <c r="E102" s="159"/>
      <c r="F102" s="159"/>
      <c r="G102" s="24"/>
      <c r="H102" s="152" t="s">
        <v>271</v>
      </c>
      <c r="I102" s="152" t="s">
        <v>272</v>
      </c>
      <c r="J102" s="10" t="s">
        <v>260</v>
      </c>
    </row>
    <row r="103">
      <c r="A103" s="20" t="s">
        <v>273</v>
      </c>
      <c r="B103" s="152">
        <v>44459.0</v>
      </c>
      <c r="C103" s="152">
        <v>86732.0</v>
      </c>
      <c r="D103" s="160">
        <f t="shared" ref="D103:D111" si="3">C103/B103-100%</f>
        <v>0.9508311028</v>
      </c>
      <c r="E103" s="159"/>
      <c r="F103" s="159"/>
      <c r="G103" s="20" t="s">
        <v>273</v>
      </c>
      <c r="H103" s="152">
        <v>80131.0</v>
      </c>
      <c r="I103" s="152">
        <v>91756.0</v>
      </c>
      <c r="J103" s="160">
        <f t="shared" ref="J103:J110" si="4">I103/H103-100%</f>
        <v>0.1450749398</v>
      </c>
    </row>
    <row r="104">
      <c r="A104" s="20" t="s">
        <v>274</v>
      </c>
      <c r="B104" s="152">
        <v>2440.0</v>
      </c>
      <c r="C104" s="152">
        <v>3456.0</v>
      </c>
      <c r="D104" s="160">
        <f t="shared" si="3"/>
        <v>0.4163934426</v>
      </c>
      <c r="E104" s="159"/>
      <c r="F104" s="159"/>
      <c r="G104" s="20" t="s">
        <v>274</v>
      </c>
      <c r="H104" s="152">
        <v>6786.0</v>
      </c>
      <c r="I104" s="152">
        <v>7841.0</v>
      </c>
      <c r="J104" s="160">
        <f t="shared" si="4"/>
        <v>0.1554671382</v>
      </c>
    </row>
    <row r="105">
      <c r="A105" s="20" t="s">
        <v>275</v>
      </c>
      <c r="B105" s="152">
        <v>5.49</v>
      </c>
      <c r="C105" s="152">
        <v>3.98</v>
      </c>
      <c r="D105" s="160">
        <f t="shared" si="3"/>
        <v>-0.2750455373</v>
      </c>
      <c r="E105" s="159"/>
      <c r="F105" s="159"/>
      <c r="G105" s="20" t="s">
        <v>275</v>
      </c>
      <c r="H105" s="152">
        <v>8.47</v>
      </c>
      <c r="I105" s="152">
        <v>8.55</v>
      </c>
      <c r="J105" s="160">
        <f t="shared" si="4"/>
        <v>0.009445100354</v>
      </c>
    </row>
    <row r="106">
      <c r="A106" s="20" t="s">
        <v>276</v>
      </c>
      <c r="B106" s="152">
        <v>71207.0</v>
      </c>
      <c r="C106" s="152">
        <v>75729.0</v>
      </c>
      <c r="D106" s="160">
        <f t="shared" si="3"/>
        <v>0.06350499249</v>
      </c>
      <c r="E106" s="159"/>
      <c r="F106" s="159"/>
      <c r="G106" s="20" t="s">
        <v>276</v>
      </c>
      <c r="H106" s="152">
        <v>10510.0</v>
      </c>
      <c r="I106" s="152">
        <v>10980.0</v>
      </c>
      <c r="J106" s="160">
        <f t="shared" si="4"/>
        <v>0.04471931494</v>
      </c>
    </row>
    <row r="107">
      <c r="A107" s="20" t="s">
        <v>277</v>
      </c>
      <c r="B107" s="152">
        <v>29.18</v>
      </c>
      <c r="C107" s="152">
        <v>21.91</v>
      </c>
      <c r="D107" s="160">
        <f t="shared" si="3"/>
        <v>-0.2491432488</v>
      </c>
      <c r="E107" s="159"/>
      <c r="F107" s="159"/>
      <c r="G107" s="20" t="s">
        <v>277</v>
      </c>
      <c r="H107" s="152">
        <v>1.55</v>
      </c>
      <c r="I107" s="152">
        <v>1.4</v>
      </c>
      <c r="J107" s="160">
        <f t="shared" si="4"/>
        <v>-0.09677419355</v>
      </c>
    </row>
    <row r="108">
      <c r="A108" s="20" t="s">
        <v>279</v>
      </c>
      <c r="B108" s="152">
        <v>52.83</v>
      </c>
      <c r="C108" s="152">
        <v>21.24</v>
      </c>
      <c r="D108" s="160">
        <f t="shared" si="3"/>
        <v>-0.597955707</v>
      </c>
      <c r="E108" s="159"/>
      <c r="F108" s="159"/>
      <c r="G108" s="20" t="s">
        <v>279</v>
      </c>
      <c r="H108" s="152">
        <v>9.62</v>
      </c>
      <c r="I108" s="152">
        <v>6.57</v>
      </c>
      <c r="J108" s="160">
        <f t="shared" si="4"/>
        <v>-0.317047817</v>
      </c>
    </row>
    <row r="109">
      <c r="A109" s="20" t="s">
        <v>280</v>
      </c>
      <c r="B109" s="152">
        <v>55.24</v>
      </c>
      <c r="C109" s="152">
        <v>103.17</v>
      </c>
      <c r="D109" s="160">
        <f t="shared" si="3"/>
        <v>0.8676683563</v>
      </c>
      <c r="E109" s="159"/>
      <c r="F109" s="159"/>
      <c r="G109" s="20" t="s">
        <v>280</v>
      </c>
      <c r="H109" s="152">
        <v>16.1</v>
      </c>
      <c r="I109" s="152">
        <v>21.32</v>
      </c>
      <c r="J109" s="160">
        <f t="shared" si="4"/>
        <v>0.3242236025</v>
      </c>
    </row>
    <row r="110">
      <c r="A110" s="20" t="s">
        <v>281</v>
      </c>
      <c r="B110" s="152">
        <v>1289.0</v>
      </c>
      <c r="C110" s="152">
        <v>734.0</v>
      </c>
      <c r="D110" s="160">
        <f t="shared" si="3"/>
        <v>-0.4305663305</v>
      </c>
      <c r="E110" s="159"/>
      <c r="F110" s="159"/>
      <c r="G110" s="20" t="s">
        <v>281</v>
      </c>
      <c r="H110" s="152">
        <v>653.0</v>
      </c>
      <c r="I110" s="152">
        <v>515.0</v>
      </c>
      <c r="J110" s="161">
        <f t="shared" si="4"/>
        <v>-0.2113323124</v>
      </c>
    </row>
    <row r="111">
      <c r="A111" s="20" t="s">
        <v>278</v>
      </c>
      <c r="B111" s="152">
        <v>5.15</v>
      </c>
      <c r="C111" s="152">
        <v>1.69</v>
      </c>
      <c r="D111" s="160">
        <f t="shared" si="3"/>
        <v>-0.6718446602</v>
      </c>
      <c r="E111" s="159"/>
      <c r="F111" s="159"/>
      <c r="G111" s="159"/>
      <c r="H111" s="159"/>
      <c r="J111" s="162"/>
    </row>
    <row r="112">
      <c r="A112" s="159"/>
      <c r="B112" s="159"/>
      <c r="C112" s="159"/>
      <c r="D112" s="159"/>
      <c r="E112" s="159"/>
      <c r="F112" s="159"/>
      <c r="G112" s="159"/>
      <c r="H112" s="159"/>
    </row>
    <row r="113">
      <c r="E113" s="159"/>
      <c r="F113" s="159"/>
      <c r="G113" s="159"/>
      <c r="H113" s="159"/>
    </row>
    <row r="114">
      <c r="A114" s="158" t="s">
        <v>286</v>
      </c>
      <c r="B114" s="3"/>
      <c r="C114" s="3"/>
      <c r="D114" s="4"/>
      <c r="E114" s="159"/>
      <c r="F114" s="159"/>
      <c r="G114" s="158" t="s">
        <v>287</v>
      </c>
      <c r="H114" s="3"/>
      <c r="I114" s="3"/>
      <c r="J114" s="4"/>
    </row>
    <row r="115">
      <c r="A115" s="6"/>
      <c r="B115" s="7"/>
      <c r="C115" s="7"/>
      <c r="D115" s="8"/>
      <c r="E115" s="159"/>
      <c r="F115" s="159"/>
      <c r="G115" s="6"/>
      <c r="H115" s="7"/>
      <c r="I115" s="7"/>
      <c r="J115" s="8"/>
    </row>
    <row r="116">
      <c r="A116" s="24"/>
      <c r="B116" s="152" t="s">
        <v>284</v>
      </c>
      <c r="C116" s="152" t="s">
        <v>285</v>
      </c>
      <c r="D116" s="10" t="s">
        <v>260</v>
      </c>
      <c r="E116" s="159"/>
      <c r="F116" s="159"/>
      <c r="G116" s="24"/>
      <c r="H116" s="152" t="s">
        <v>284</v>
      </c>
      <c r="I116" s="152" t="s">
        <v>285</v>
      </c>
      <c r="J116" s="10" t="s">
        <v>260</v>
      </c>
    </row>
    <row r="117">
      <c r="A117" s="20" t="s">
        <v>273</v>
      </c>
      <c r="B117" s="152">
        <v>235859.0</v>
      </c>
      <c r="C117" s="152">
        <v>190715.0</v>
      </c>
      <c r="D117" s="160">
        <f t="shared" ref="D117:D125" si="5">C117/B117-100%</f>
        <v>-0.1914024905</v>
      </c>
      <c r="E117" s="159"/>
      <c r="F117" s="159"/>
      <c r="G117" s="20" t="s">
        <v>273</v>
      </c>
      <c r="H117" s="152">
        <v>67563.0</v>
      </c>
      <c r="I117" s="152">
        <v>84072.0</v>
      </c>
      <c r="J117" s="160">
        <f t="shared" ref="J117:J124" si="6">I117/H117-100%</f>
        <v>0.244349718</v>
      </c>
    </row>
    <row r="118">
      <c r="A118" s="20" t="s">
        <v>274</v>
      </c>
      <c r="B118" s="152">
        <v>1811.0</v>
      </c>
      <c r="C118" s="152">
        <v>1232.0</v>
      </c>
      <c r="D118" s="160">
        <f t="shared" si="5"/>
        <v>-0.3197128658</v>
      </c>
      <c r="E118" s="159"/>
      <c r="F118" s="159"/>
      <c r="G118" s="20" t="s">
        <v>274</v>
      </c>
      <c r="H118" s="152">
        <v>6604.0</v>
      </c>
      <c r="I118" s="152">
        <v>6426.0</v>
      </c>
      <c r="J118" s="160">
        <f t="shared" si="6"/>
        <v>-0.0269533616</v>
      </c>
    </row>
    <row r="119">
      <c r="A119" s="20" t="s">
        <v>275</v>
      </c>
      <c r="B119" s="152">
        <v>0.77</v>
      </c>
      <c r="C119" s="152">
        <v>0.65</v>
      </c>
      <c r="D119" s="160">
        <f t="shared" si="5"/>
        <v>-0.1558441558</v>
      </c>
      <c r="G119" s="20" t="s">
        <v>275</v>
      </c>
      <c r="H119" s="152">
        <v>9.77</v>
      </c>
      <c r="I119" s="152">
        <v>7.64</v>
      </c>
      <c r="J119" s="160">
        <f t="shared" si="6"/>
        <v>-0.2180143296</v>
      </c>
    </row>
    <row r="120">
      <c r="A120" s="20" t="s">
        <v>276</v>
      </c>
      <c r="B120" s="152">
        <v>14514.0</v>
      </c>
      <c r="C120" s="152">
        <v>14606.0</v>
      </c>
      <c r="D120" s="160">
        <f t="shared" si="5"/>
        <v>0.006338707455</v>
      </c>
      <c r="G120" s="20" t="s">
        <v>276</v>
      </c>
      <c r="H120" s="152">
        <v>11966.98</v>
      </c>
      <c r="I120" s="152">
        <v>12530.0</v>
      </c>
      <c r="J120" s="160">
        <f t="shared" si="6"/>
        <v>0.04704779318</v>
      </c>
    </row>
    <row r="121">
      <c r="A121" s="20" t="s">
        <v>277</v>
      </c>
      <c r="B121" s="152">
        <v>8.01</v>
      </c>
      <c r="C121" s="152">
        <v>11.86</v>
      </c>
      <c r="D121" s="160">
        <f t="shared" si="5"/>
        <v>0.4806491885</v>
      </c>
      <c r="G121" s="20" t="s">
        <v>277</v>
      </c>
      <c r="H121" s="152">
        <v>1.81</v>
      </c>
      <c r="I121" s="152">
        <v>1.95</v>
      </c>
      <c r="J121" s="160">
        <f t="shared" si="6"/>
        <v>0.0773480663</v>
      </c>
    </row>
    <row r="122">
      <c r="A122" s="20" t="s">
        <v>279</v>
      </c>
      <c r="B122" s="152">
        <v>4.25</v>
      </c>
      <c r="C122" s="152">
        <v>1.95</v>
      </c>
      <c r="D122" s="160">
        <f t="shared" si="5"/>
        <v>-0.5411764706</v>
      </c>
      <c r="G122" s="20" t="s">
        <v>279</v>
      </c>
      <c r="H122" s="152">
        <v>0.47</v>
      </c>
      <c r="I122" s="152">
        <v>0.28</v>
      </c>
      <c r="J122" s="160">
        <f t="shared" si="6"/>
        <v>-0.4042553191</v>
      </c>
    </row>
    <row r="123">
      <c r="A123" s="20" t="s">
        <v>280</v>
      </c>
      <c r="B123" s="152">
        <v>188.5</v>
      </c>
      <c r="C123" s="152">
        <v>608.52</v>
      </c>
      <c r="D123" s="160">
        <f t="shared" si="5"/>
        <v>2.228222812</v>
      </c>
      <c r="G123" s="20" t="s">
        <v>280</v>
      </c>
      <c r="H123" s="152">
        <v>386.03</v>
      </c>
      <c r="I123" s="152">
        <v>696.0</v>
      </c>
      <c r="J123" s="160">
        <f t="shared" si="6"/>
        <v>0.8029686812</v>
      </c>
    </row>
    <row r="124">
      <c r="A124" s="20" t="s">
        <v>281</v>
      </c>
      <c r="B124" s="152">
        <v>77.0</v>
      </c>
      <c r="C124" s="152">
        <v>24.0</v>
      </c>
      <c r="D124" s="160">
        <f t="shared" si="5"/>
        <v>-0.6883116883</v>
      </c>
      <c r="G124" s="20" t="s">
        <v>281</v>
      </c>
      <c r="H124" s="152">
        <v>31.0</v>
      </c>
      <c r="I124" s="152">
        <v>18.0</v>
      </c>
      <c r="J124" s="161">
        <f t="shared" si="6"/>
        <v>-0.4193548387</v>
      </c>
    </row>
    <row r="125">
      <c r="A125" s="20" t="s">
        <v>278</v>
      </c>
      <c r="B125" s="152">
        <v>1.21</v>
      </c>
      <c r="C125" s="152">
        <v>1.1</v>
      </c>
      <c r="D125" s="160">
        <f t="shared" si="5"/>
        <v>-0.09090909091</v>
      </c>
      <c r="J125" s="162"/>
    </row>
    <row r="139">
      <c r="A139" s="5"/>
      <c r="B139" s="163"/>
      <c r="C139" s="163"/>
      <c r="D139" s="163"/>
      <c r="E139" s="163"/>
      <c r="F139" s="163"/>
      <c r="G139" s="163"/>
    </row>
    <row r="140">
      <c r="A140" s="164"/>
      <c r="B140" s="164"/>
      <c r="C140" s="164"/>
      <c r="D140" s="164"/>
      <c r="E140" s="165"/>
      <c r="F140" s="165"/>
      <c r="G140" s="165"/>
    </row>
    <row r="141">
      <c r="A141" s="163"/>
      <c r="B141" s="163"/>
      <c r="C141" s="163"/>
      <c r="D141" s="163"/>
      <c r="E141" s="166"/>
      <c r="F141" s="166"/>
      <c r="G141" s="166"/>
    </row>
  </sheetData>
  <mergeCells count="8">
    <mergeCell ref="J3:L7"/>
    <mergeCell ref="A66:D67"/>
    <mergeCell ref="A82:D83"/>
    <mergeCell ref="G82:J83"/>
    <mergeCell ref="A100:D101"/>
    <mergeCell ref="G100:J101"/>
    <mergeCell ref="A114:D115"/>
    <mergeCell ref="G114:J115"/>
  </mergeCells>
  <conditionalFormatting sqref="D69:D77">
    <cfRule type="cellIs" dxfId="5" priority="1" operator="greaterThanOrEqual">
      <formula>"1%"</formula>
    </cfRule>
  </conditionalFormatting>
  <conditionalFormatting sqref="D69:D77">
    <cfRule type="cellIs" dxfId="1" priority="2" operator="lessThanOrEqual">
      <formula>"0%"</formula>
    </cfRule>
  </conditionalFormatting>
  <conditionalFormatting sqref="D103:D105 J103:J105 D108 J108 D110:D111 J110:J111 D117:D119 J117:J119 D122 J122 D124:D125 J124:J125">
    <cfRule type="cellIs" dxfId="0" priority="3" operator="greaterThanOrEqual">
      <formula>"1%"</formula>
    </cfRule>
  </conditionalFormatting>
  <conditionalFormatting sqref="D103:D105 J103:J105 D108 J108 D110:D111 J110:J111 D117:D119 J117:J119 D122 J122 D124:D125 J124:J125">
    <cfRule type="cellIs" dxfId="1" priority="4" operator="lessThanOrEqual">
      <formula>"0%"</formula>
    </cfRule>
  </conditionalFormatting>
  <conditionalFormatting sqref="D106:D107 J106:J107 D109 J109 D120:D121 J120:J121 D123 J123">
    <cfRule type="cellIs" dxfId="1" priority="5" operator="greaterThanOrEqual">
      <formula>"0%"</formula>
    </cfRule>
  </conditionalFormatting>
  <conditionalFormatting sqref="D106:D107 J106:J107 D109 J109 D120:D121 J120:J121 D123 J123">
    <cfRule type="cellIs" dxfId="0" priority="6" operator="lessThanOrEqual">
      <formula>"-1%"</formula>
    </cfRule>
  </conditionalFormatting>
  <conditionalFormatting sqref="D85:D87 D93:D94 D96:D97 D129 D90">
    <cfRule type="cellIs" dxfId="0" priority="7" operator="greaterThanOrEqual">
      <formula>"1%"</formula>
    </cfRule>
  </conditionalFormatting>
  <conditionalFormatting sqref="D85:D87 D93:D94 D96:D97 D129 D90">
    <cfRule type="cellIs" dxfId="1" priority="8" operator="lessThanOrEqual">
      <formula>"0%"</formula>
    </cfRule>
  </conditionalFormatting>
  <conditionalFormatting sqref="D88:D89 D92 D95">
    <cfRule type="cellIs" dxfId="1" priority="9" operator="greaterThanOrEqual">
      <formula>"0%"</formula>
    </cfRule>
  </conditionalFormatting>
  <conditionalFormatting sqref="D88:D89 D92 D95">
    <cfRule type="cellIs" dxfId="0" priority="10" operator="lessThanOrEqual">
      <formula>"-1%"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5.0"/>
    <col customWidth="1" min="3" max="3" width="46.75"/>
    <col customWidth="1" min="4" max="4" width="25.63"/>
  </cols>
  <sheetData>
    <row r="1">
      <c r="A1" s="153" t="s">
        <v>288</v>
      </c>
      <c r="B1" s="153">
        <v>1.0</v>
      </c>
      <c r="C1" s="153"/>
      <c r="D1" s="153"/>
      <c r="G1" s="153"/>
    </row>
    <row r="2">
      <c r="A2" s="153" t="s">
        <v>289</v>
      </c>
      <c r="B2" s="153">
        <v>1.0</v>
      </c>
      <c r="C2" s="153"/>
      <c r="D2" s="153"/>
      <c r="F2" s="153"/>
      <c r="G2" s="153"/>
    </row>
    <row r="3">
      <c r="A3" s="153" t="s">
        <v>290</v>
      </c>
      <c r="B3" s="153">
        <v>1.0</v>
      </c>
      <c r="C3" s="153"/>
      <c r="D3" s="153"/>
      <c r="F3" s="153"/>
      <c r="G3" s="153"/>
    </row>
    <row r="4">
      <c r="A4" s="153" t="s">
        <v>291</v>
      </c>
      <c r="B4" s="153">
        <v>1.0</v>
      </c>
      <c r="C4" s="153"/>
      <c r="D4" s="153"/>
    </row>
    <row r="6">
      <c r="A6" s="167"/>
    </row>
  </sheetData>
  <mergeCells count="2">
    <mergeCell ref="G1:H1"/>
    <mergeCell ref="A6:D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6.75"/>
    <col customWidth="1" min="3" max="3" width="29.5"/>
    <col customWidth="1" min="4" max="4" width="22.88"/>
    <col customWidth="1" min="5" max="5" width="21.63"/>
    <col customWidth="1" min="6" max="6" width="20.25"/>
    <col customWidth="1" min="7" max="7" width="19.5"/>
    <col customWidth="1" min="10" max="10" width="3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4"/>
      <c r="H2" s="5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7"/>
      <c r="D3" s="7"/>
      <c r="E3" s="7"/>
      <c r="F3" s="7"/>
      <c r="G3" s="8"/>
      <c r="H3" s="5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</v>
      </c>
      <c r="B4" s="10" t="s">
        <v>292</v>
      </c>
      <c r="C4" s="10" t="s">
        <v>293</v>
      </c>
      <c r="D4" s="10" t="s">
        <v>2</v>
      </c>
      <c r="E4" s="10" t="s">
        <v>3</v>
      </c>
      <c r="F4" s="10" t="s">
        <v>294</v>
      </c>
      <c r="G4" s="10" t="s">
        <v>6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8</v>
      </c>
      <c r="B5" s="11">
        <v>4230000.0</v>
      </c>
      <c r="C5" s="12">
        <v>4565805.0</v>
      </c>
      <c r="D5" s="11">
        <v>4530000.0</v>
      </c>
      <c r="E5" s="12">
        <v>4818780.0</v>
      </c>
      <c r="F5" s="15">
        <f t="shared" ref="F5:F6" si="1">C5/B5</f>
        <v>1.079386525</v>
      </c>
      <c r="G5" s="16">
        <f t="shared" ref="G5:G6" si="2">E5/D5</f>
        <v>1.063748344</v>
      </c>
      <c r="H5" s="5"/>
      <c r="I5" s="17"/>
      <c r="J5" s="18"/>
      <c r="K5" s="19"/>
      <c r="L5" s="1"/>
      <c r="M5" s="17"/>
      <c r="N5" s="18"/>
      <c r="O5" s="1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11">
        <v>8280000.0</v>
      </c>
      <c r="C6" s="12">
        <v>7994838.0</v>
      </c>
      <c r="D6" s="11">
        <v>8570000.0</v>
      </c>
      <c r="E6" s="12">
        <v>8018161.0</v>
      </c>
      <c r="F6" s="15">
        <f t="shared" si="1"/>
        <v>0.9655601449</v>
      </c>
      <c r="G6" s="16">
        <f t="shared" si="2"/>
        <v>0.9356080513</v>
      </c>
      <c r="H6" s="5"/>
      <c r="I6" s="17"/>
      <c r="J6" s="18"/>
      <c r="K6" s="19"/>
      <c r="L6" s="1"/>
      <c r="M6" s="17"/>
      <c r="N6" s="18"/>
      <c r="O6" s="1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5"/>
      <c r="C7" s="5"/>
      <c r="D7" s="5"/>
      <c r="E7" s="5"/>
      <c r="F7" s="5"/>
      <c r="G7" s="5"/>
      <c r="H7" s="5"/>
      <c r="I7" s="17"/>
      <c r="J7" s="18"/>
      <c r="K7" s="19"/>
      <c r="L7" s="1"/>
      <c r="M7" s="17"/>
      <c r="N7" s="18"/>
      <c r="O7" s="1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/>
      <c r="C8" s="3"/>
      <c r="D8" s="3"/>
      <c r="E8" s="3"/>
      <c r="F8" s="3"/>
      <c r="G8" s="4"/>
      <c r="H8" s="5"/>
      <c r="I8" s="17"/>
      <c r="J8" s="18"/>
      <c r="K8" s="19"/>
      <c r="L8" s="1"/>
      <c r="M8" s="17"/>
      <c r="N8" s="18"/>
      <c r="O8" s="1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7"/>
      <c r="E9" s="7"/>
      <c r="F9" s="7"/>
      <c r="G9" s="8"/>
      <c r="H9" s="5"/>
      <c r="I9" s="17"/>
      <c r="J9" s="18"/>
      <c r="K9" s="19"/>
      <c r="L9" s="1"/>
      <c r="M9" s="17"/>
      <c r="N9" s="18"/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 t="s">
        <v>1</v>
      </c>
      <c r="B10" s="10" t="s">
        <v>292</v>
      </c>
      <c r="C10" s="10" t="s">
        <v>293</v>
      </c>
      <c r="D10" s="10" t="s">
        <v>2</v>
      </c>
      <c r="E10" s="10" t="s">
        <v>3</v>
      </c>
      <c r="F10" s="10" t="s">
        <v>294</v>
      </c>
      <c r="G10" s="10" t="s">
        <v>6</v>
      </c>
      <c r="H10" s="5"/>
      <c r="I10" s="17"/>
      <c r="K10" s="21"/>
      <c r="L10" s="1"/>
      <c r="M10" s="17"/>
      <c r="N10" s="18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8</v>
      </c>
      <c r="B11" s="22">
        <v>320.0</v>
      </c>
      <c r="C11" s="22">
        <v>275.0</v>
      </c>
      <c r="D11" s="22">
        <v>330.0</v>
      </c>
      <c r="E11" s="22">
        <v>349.0</v>
      </c>
      <c r="F11" s="23">
        <f t="shared" ref="F11:F12" si="3">C11/B11</f>
        <v>0.859375</v>
      </c>
      <c r="G11" s="23">
        <f t="shared" ref="G11:G12" si="4">E11/D11</f>
        <v>1.057575758</v>
      </c>
      <c r="H11" s="5"/>
      <c r="I11" s="17"/>
      <c r="K11" s="21"/>
      <c r="L11" s="1"/>
      <c r="M11" s="17"/>
      <c r="N11" s="18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9</v>
      </c>
      <c r="B12" s="22">
        <v>760.0</v>
      </c>
      <c r="C12" s="22">
        <v>577.0</v>
      </c>
      <c r="D12" s="22">
        <v>770.0</v>
      </c>
      <c r="E12" s="22">
        <v>645.0</v>
      </c>
      <c r="F12" s="155">
        <f t="shared" si="3"/>
        <v>0.7592105263</v>
      </c>
      <c r="G12" s="23">
        <f t="shared" si="4"/>
        <v>0.8376623377</v>
      </c>
      <c r="H12" s="5"/>
      <c r="I12" s="17"/>
      <c r="K12" s="21"/>
      <c r="L12" s="1"/>
      <c r="M12" s="17"/>
      <c r="N12" s="18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5"/>
      <c r="I13" s="17"/>
      <c r="J13" s="18"/>
      <c r="K13" s="21"/>
      <c r="L13" s="1"/>
      <c r="M13" s="17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/>
      <c r="B14" s="25"/>
      <c r="C14" s="26" t="s">
        <v>12</v>
      </c>
      <c r="D14" s="27"/>
      <c r="E14" s="28"/>
      <c r="F14" s="26" t="s">
        <v>13</v>
      </c>
      <c r="G14" s="28"/>
      <c r="H14" s="26" t="s">
        <v>14</v>
      </c>
      <c r="I14" s="28"/>
      <c r="J14" s="29"/>
      <c r="K14" s="5"/>
      <c r="L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/>
      <c r="B15" s="31"/>
      <c r="C15" s="32" t="s">
        <v>15</v>
      </c>
      <c r="D15" s="32" t="s">
        <v>16</v>
      </c>
      <c r="E15" s="32" t="s">
        <v>17</v>
      </c>
      <c r="F15" s="32" t="s">
        <v>15</v>
      </c>
      <c r="G15" s="32" t="s">
        <v>16</v>
      </c>
      <c r="H15" s="32" t="s">
        <v>15</v>
      </c>
      <c r="I15" s="33" t="s">
        <v>16</v>
      </c>
      <c r="J15" s="34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4" t="s">
        <v>24</v>
      </c>
      <c r="B16" s="35">
        <v>1.0</v>
      </c>
      <c r="C16" s="168">
        <v>191303.0</v>
      </c>
      <c r="D16" s="168">
        <v>318297.0</v>
      </c>
      <c r="E16" s="168">
        <f t="shared" ref="E16:E18" si="6">SUM(C16:D16)</f>
        <v>509600</v>
      </c>
      <c r="F16" s="169">
        <v>148.0</v>
      </c>
      <c r="G16" s="169">
        <v>272.0</v>
      </c>
      <c r="H16" s="168">
        <f t="shared" ref="H16:I16" si="5">C16/F16</f>
        <v>1292.587838</v>
      </c>
      <c r="I16" s="168">
        <f t="shared" si="5"/>
        <v>1170.209559</v>
      </c>
      <c r="J16" s="39"/>
      <c r="K16" s="40"/>
      <c r="L16" s="4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4" t="s">
        <v>25</v>
      </c>
      <c r="B17" s="35">
        <v>2.0</v>
      </c>
      <c r="C17" s="168">
        <v>159874.0</v>
      </c>
      <c r="D17" s="168">
        <v>265619.0</v>
      </c>
      <c r="E17" s="168">
        <f t="shared" si="6"/>
        <v>425493</v>
      </c>
      <c r="F17" s="169">
        <v>116.0</v>
      </c>
      <c r="G17" s="169">
        <v>237.0</v>
      </c>
      <c r="H17" s="168">
        <f t="shared" ref="H17:I17" si="7">C17/F17</f>
        <v>1378.224138</v>
      </c>
      <c r="I17" s="168">
        <f t="shared" si="7"/>
        <v>1120.755274</v>
      </c>
      <c r="J17" s="39"/>
      <c r="K17" s="170"/>
      <c r="L17" s="17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4" t="s">
        <v>27</v>
      </c>
      <c r="B18" s="35">
        <v>3.0</v>
      </c>
      <c r="C18" s="168">
        <v>143150.0</v>
      </c>
      <c r="D18" s="168">
        <v>223581.0</v>
      </c>
      <c r="E18" s="168">
        <f t="shared" si="6"/>
        <v>366731</v>
      </c>
      <c r="F18" s="169">
        <v>108.0</v>
      </c>
      <c r="G18" s="169">
        <v>198.0</v>
      </c>
      <c r="H18" s="168">
        <f t="shared" ref="H18:I18" si="8">C18/F18</f>
        <v>1325.462963</v>
      </c>
      <c r="I18" s="168">
        <f t="shared" si="8"/>
        <v>1129.19697</v>
      </c>
      <c r="J18" s="39"/>
      <c r="K18" s="170"/>
      <c r="L18" s="17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/>
      <c r="B19" s="49" t="s">
        <v>29</v>
      </c>
      <c r="C19" s="50">
        <f t="shared" ref="C19:G19" si="9">SUM(C16:C18)</f>
        <v>494327</v>
      </c>
      <c r="D19" s="50">
        <f t="shared" si="9"/>
        <v>807497</v>
      </c>
      <c r="E19" s="50">
        <f t="shared" si="9"/>
        <v>1301824</v>
      </c>
      <c r="F19" s="50">
        <f t="shared" si="9"/>
        <v>372</v>
      </c>
      <c r="G19" s="50">
        <f t="shared" si="9"/>
        <v>707</v>
      </c>
      <c r="H19" s="50">
        <f t="shared" ref="H19:I19" si="10">C19/F19</f>
        <v>1328.836022</v>
      </c>
      <c r="I19" s="50">
        <f t="shared" si="10"/>
        <v>1142.145686</v>
      </c>
      <c r="J19" s="34"/>
      <c r="K19" s="53"/>
      <c r="L19" s="5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1"/>
      <c r="B20" s="35">
        <v>4.0</v>
      </c>
      <c r="C20" s="36">
        <v>127818.0</v>
      </c>
      <c r="D20" s="36">
        <v>197933.0</v>
      </c>
      <c r="E20" s="36">
        <f t="shared" ref="E20:E26" si="12">SUM(C20:D20)</f>
        <v>325751</v>
      </c>
      <c r="F20" s="37">
        <v>87.0</v>
      </c>
      <c r="G20" s="37">
        <v>196.0</v>
      </c>
      <c r="H20" s="36">
        <f t="shared" ref="H20:I20" si="11">C20/F20</f>
        <v>1469.172414</v>
      </c>
      <c r="I20" s="36">
        <f t="shared" si="11"/>
        <v>1009.862245</v>
      </c>
      <c r="J20" s="170"/>
      <c r="K20" s="171"/>
      <c r="L20" s="17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2" t="s">
        <v>19</v>
      </c>
      <c r="B21" s="35">
        <v>5.0</v>
      </c>
      <c r="C21" s="36">
        <v>137722.0</v>
      </c>
      <c r="D21" s="36">
        <v>203370.0</v>
      </c>
      <c r="E21" s="36">
        <f t="shared" si="12"/>
        <v>341092</v>
      </c>
      <c r="F21" s="37">
        <v>108.0</v>
      </c>
      <c r="G21" s="37">
        <v>178.0</v>
      </c>
      <c r="H21" s="36">
        <f t="shared" ref="H21:I21" si="13">C21/F21</f>
        <v>1275.203704</v>
      </c>
      <c r="I21" s="36">
        <f t="shared" si="13"/>
        <v>1142.52809</v>
      </c>
      <c r="J21" s="55"/>
      <c r="K21" s="56" t="s">
        <v>15</v>
      </c>
      <c r="L21" s="56" t="s">
        <v>16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2" t="s">
        <v>20</v>
      </c>
      <c r="B22" s="35">
        <v>6.0</v>
      </c>
      <c r="C22" s="36">
        <v>127410.0</v>
      </c>
      <c r="D22" s="36">
        <v>180311.0</v>
      </c>
      <c r="E22" s="36">
        <f t="shared" si="12"/>
        <v>307721</v>
      </c>
      <c r="F22" s="37">
        <v>109.0</v>
      </c>
      <c r="G22" s="37">
        <v>174.0</v>
      </c>
      <c r="H22" s="36">
        <f t="shared" ref="H22:I22" si="14">C22/F22</f>
        <v>1168.899083</v>
      </c>
      <c r="I22" s="36">
        <f t="shared" si="14"/>
        <v>1036.270115</v>
      </c>
      <c r="J22" s="42" t="s">
        <v>21</v>
      </c>
      <c r="K22" s="36">
        <f t="shared" ref="K22:L22" si="15">SUM(C20:C23)</f>
        <v>488644</v>
      </c>
      <c r="L22" s="36">
        <f t="shared" si="15"/>
        <v>823169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2" t="s">
        <v>22</v>
      </c>
      <c r="B23" s="35">
        <v>7.0</v>
      </c>
      <c r="C23" s="36">
        <v>95694.0</v>
      </c>
      <c r="D23" s="36">
        <v>241555.0</v>
      </c>
      <c r="E23" s="36">
        <f t="shared" si="12"/>
        <v>337249</v>
      </c>
      <c r="F23" s="37">
        <v>78.0</v>
      </c>
      <c r="G23" s="37">
        <v>215.0</v>
      </c>
      <c r="H23" s="36">
        <f t="shared" ref="H23:I23" si="16">C23/F23</f>
        <v>1226.846154</v>
      </c>
      <c r="I23" s="36">
        <f t="shared" si="16"/>
        <v>1123.511628</v>
      </c>
      <c r="J23" s="56" t="s">
        <v>23</v>
      </c>
      <c r="K23" s="36">
        <f t="shared" ref="K23:L23" si="17">SUM(C24:C26)</f>
        <v>665719</v>
      </c>
      <c r="L23" s="36">
        <f t="shared" si="17"/>
        <v>908993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4" t="s">
        <v>24</v>
      </c>
      <c r="B24" s="35">
        <v>8.0</v>
      </c>
      <c r="C24" s="45">
        <v>184793.0</v>
      </c>
      <c r="D24" s="45">
        <v>346677.0</v>
      </c>
      <c r="E24" s="45">
        <f t="shared" si="12"/>
        <v>531470</v>
      </c>
      <c r="F24" s="46">
        <v>133.0</v>
      </c>
      <c r="G24" s="46">
        <v>269.0</v>
      </c>
      <c r="H24" s="45">
        <f t="shared" ref="H24:I24" si="18">C24/F24</f>
        <v>1389.421053</v>
      </c>
      <c r="I24" s="45">
        <f t="shared" si="18"/>
        <v>1288.762082</v>
      </c>
      <c r="J24" s="56" t="s">
        <v>17</v>
      </c>
      <c r="K24" s="36">
        <f t="shared" ref="K24:L24" si="19">SUM(K22:K23)</f>
        <v>1154363</v>
      </c>
      <c r="L24" s="36">
        <f t="shared" si="19"/>
        <v>1732162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4" t="s">
        <v>25</v>
      </c>
      <c r="B25" s="35">
        <v>9.0</v>
      </c>
      <c r="C25" s="45">
        <v>268342.0</v>
      </c>
      <c r="D25" s="45">
        <v>277304.0</v>
      </c>
      <c r="E25" s="45">
        <f t="shared" si="12"/>
        <v>545646</v>
      </c>
      <c r="F25" s="46">
        <v>178.0</v>
      </c>
      <c r="G25" s="46">
        <v>215.0</v>
      </c>
      <c r="H25" s="45">
        <f t="shared" ref="H25:I25" si="20">C25/F25</f>
        <v>1507.539326</v>
      </c>
      <c r="I25" s="45">
        <f t="shared" si="20"/>
        <v>1289.786047</v>
      </c>
      <c r="J25" s="42" t="s">
        <v>26</v>
      </c>
      <c r="K25" s="48">
        <f t="shared" ref="K25:L25" si="21">K22/K23</f>
        <v>0.7340093944</v>
      </c>
      <c r="L25" s="48">
        <f t="shared" si="21"/>
        <v>0.9055834313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4" t="s">
        <v>27</v>
      </c>
      <c r="B26" s="35">
        <v>10.0</v>
      </c>
      <c r="C26" s="45">
        <v>212584.0</v>
      </c>
      <c r="D26" s="45">
        <v>285012.0</v>
      </c>
      <c r="E26" s="45">
        <f t="shared" si="12"/>
        <v>497596</v>
      </c>
      <c r="F26" s="46">
        <v>161.0</v>
      </c>
      <c r="G26" s="46">
        <v>215.0</v>
      </c>
      <c r="H26" s="45">
        <f t="shared" ref="H26:I26" si="22">C26/F26</f>
        <v>1320.397516</v>
      </c>
      <c r="I26" s="45">
        <f t="shared" si="22"/>
        <v>1325.637209</v>
      </c>
      <c r="J26" s="56" t="s">
        <v>28</v>
      </c>
      <c r="K26" s="48">
        <f t="shared" ref="K26:L26" si="23">1-K22/K23</f>
        <v>0.2659906056</v>
      </c>
      <c r="L26" s="48">
        <f t="shared" si="23"/>
        <v>0.09441656866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0"/>
      <c r="B27" s="49" t="s">
        <v>29</v>
      </c>
      <c r="C27" s="50">
        <f t="shared" ref="C27:G27" si="24">SUM(C20:C26)</f>
        <v>1154363</v>
      </c>
      <c r="D27" s="50">
        <f t="shared" si="24"/>
        <v>1732162</v>
      </c>
      <c r="E27" s="50">
        <f t="shared" si="24"/>
        <v>2886525</v>
      </c>
      <c r="F27" s="50">
        <f t="shared" si="24"/>
        <v>854</v>
      </c>
      <c r="G27" s="50">
        <f t="shared" si="24"/>
        <v>1462</v>
      </c>
      <c r="H27" s="50">
        <f t="shared" ref="H27:I27" si="25">C27/F27</f>
        <v>1351.713115</v>
      </c>
      <c r="I27" s="50">
        <f t="shared" si="25"/>
        <v>1184.78933</v>
      </c>
      <c r="J27" s="52"/>
      <c r="K27" s="53"/>
      <c r="L27" s="5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2" t="s">
        <v>18</v>
      </c>
      <c r="B28" s="35">
        <v>11.0</v>
      </c>
      <c r="C28" s="36">
        <v>135418.0</v>
      </c>
      <c r="D28" s="36">
        <v>253836.0</v>
      </c>
      <c r="E28" s="36">
        <f t="shared" ref="E28:E34" si="27">SUM(C28:D28)</f>
        <v>389254</v>
      </c>
      <c r="F28" s="37">
        <v>100.0</v>
      </c>
      <c r="G28" s="37">
        <v>214.0</v>
      </c>
      <c r="H28" s="36">
        <f t="shared" ref="H28:I28" si="26">C28/F28</f>
        <v>1354.18</v>
      </c>
      <c r="I28" s="38">
        <f t="shared" si="26"/>
        <v>1186.149533</v>
      </c>
      <c r="J28" s="172"/>
      <c r="K28" s="52"/>
      <c r="L28" s="5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2" t="s">
        <v>19</v>
      </c>
      <c r="B29" s="35">
        <v>12.0</v>
      </c>
      <c r="C29" s="36">
        <v>124079.0</v>
      </c>
      <c r="D29" s="36">
        <v>230032.0</v>
      </c>
      <c r="E29" s="36">
        <f t="shared" si="27"/>
        <v>354111</v>
      </c>
      <c r="F29" s="37">
        <v>90.0</v>
      </c>
      <c r="G29" s="37">
        <v>222.0</v>
      </c>
      <c r="H29" s="36">
        <f t="shared" ref="H29:I29" si="28">C29/F29</f>
        <v>1378.655556</v>
      </c>
      <c r="I29" s="38">
        <f t="shared" si="28"/>
        <v>1036.18018</v>
      </c>
      <c r="J29" s="55"/>
      <c r="K29" s="56" t="s">
        <v>15</v>
      </c>
      <c r="L29" s="56" t="s">
        <v>16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2" t="s">
        <v>20</v>
      </c>
      <c r="B30" s="35">
        <v>13.0</v>
      </c>
      <c r="C30" s="36">
        <v>105227.0</v>
      </c>
      <c r="D30" s="36">
        <v>225678.0</v>
      </c>
      <c r="E30" s="36">
        <f t="shared" si="27"/>
        <v>330905</v>
      </c>
      <c r="F30" s="37">
        <v>86.0</v>
      </c>
      <c r="G30" s="37">
        <v>194.0</v>
      </c>
      <c r="H30" s="36">
        <f t="shared" ref="H30:I30" si="29">C30/F30</f>
        <v>1223.569767</v>
      </c>
      <c r="I30" s="38">
        <f t="shared" si="29"/>
        <v>1163.28866</v>
      </c>
      <c r="J30" s="42" t="s">
        <v>21</v>
      </c>
      <c r="K30" s="36">
        <f t="shared" ref="K30:L30" si="30">SUM(C28:C31)</f>
        <v>509152</v>
      </c>
      <c r="L30" s="36">
        <f t="shared" si="30"/>
        <v>964451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2" t="s">
        <v>22</v>
      </c>
      <c r="B31" s="35">
        <v>14.0</v>
      </c>
      <c r="C31" s="36">
        <v>144428.0</v>
      </c>
      <c r="D31" s="36">
        <v>254905.0</v>
      </c>
      <c r="E31" s="36">
        <f t="shared" si="27"/>
        <v>399333</v>
      </c>
      <c r="F31" s="37">
        <v>107.0</v>
      </c>
      <c r="G31" s="37">
        <v>231.0</v>
      </c>
      <c r="H31" s="36">
        <f t="shared" ref="H31:I31" si="31">C31/F31</f>
        <v>1349.794393</v>
      </c>
      <c r="I31" s="38">
        <f t="shared" si="31"/>
        <v>1103.484848</v>
      </c>
      <c r="J31" s="56" t="s">
        <v>23</v>
      </c>
      <c r="K31" s="36">
        <f t="shared" ref="K31:L31" si="32">SUM(C32:C34)</f>
        <v>529523</v>
      </c>
      <c r="L31" s="36">
        <f t="shared" si="32"/>
        <v>947101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4" t="s">
        <v>24</v>
      </c>
      <c r="B32" s="35">
        <v>15.0</v>
      </c>
      <c r="C32" s="45">
        <v>168863.0</v>
      </c>
      <c r="D32" s="45">
        <v>311463.0</v>
      </c>
      <c r="E32" s="47">
        <f t="shared" si="27"/>
        <v>480326</v>
      </c>
      <c r="F32" s="46">
        <v>130.0</v>
      </c>
      <c r="G32" s="46">
        <v>248.0</v>
      </c>
      <c r="H32" s="45">
        <f t="shared" ref="H32:I32" si="33">C32/F32</f>
        <v>1298.946154</v>
      </c>
      <c r="I32" s="47">
        <f t="shared" si="33"/>
        <v>1255.899194</v>
      </c>
      <c r="J32" s="56" t="s">
        <v>17</v>
      </c>
      <c r="K32" s="36">
        <f t="shared" ref="K32:L32" si="34">SUM(K30:K31)</f>
        <v>1038675</v>
      </c>
      <c r="L32" s="36">
        <f t="shared" si="34"/>
        <v>1911552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4" t="s">
        <v>25</v>
      </c>
      <c r="B33" s="35">
        <v>16.0</v>
      </c>
      <c r="C33" s="45">
        <v>180614.0</v>
      </c>
      <c r="D33" s="45">
        <v>345811.0</v>
      </c>
      <c r="E33" s="47">
        <f t="shared" si="27"/>
        <v>526425</v>
      </c>
      <c r="F33" s="46">
        <v>136.0</v>
      </c>
      <c r="G33" s="46">
        <v>281.0</v>
      </c>
      <c r="H33" s="45">
        <f t="shared" ref="H33:I33" si="35">C33/F33</f>
        <v>1328.044118</v>
      </c>
      <c r="I33" s="47">
        <f t="shared" si="35"/>
        <v>1230.644128</v>
      </c>
      <c r="J33" s="42" t="s">
        <v>26</v>
      </c>
      <c r="K33" s="48">
        <f t="shared" ref="K33:L33" si="36">K30/K31</f>
        <v>0.9615295275</v>
      </c>
      <c r="L33" s="48">
        <f t="shared" si="36"/>
        <v>1.01831906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4" t="s">
        <v>27</v>
      </c>
      <c r="B34" s="35">
        <v>17.0</v>
      </c>
      <c r="C34" s="45">
        <v>180046.0</v>
      </c>
      <c r="D34" s="45">
        <v>289827.0</v>
      </c>
      <c r="E34" s="47">
        <f t="shared" si="27"/>
        <v>469873</v>
      </c>
      <c r="F34" s="46">
        <v>126.0</v>
      </c>
      <c r="G34" s="46">
        <v>243.0</v>
      </c>
      <c r="H34" s="45">
        <f t="shared" ref="H34:I34" si="37">C34/F34</f>
        <v>1428.936508</v>
      </c>
      <c r="I34" s="47">
        <f t="shared" si="37"/>
        <v>1192.703704</v>
      </c>
      <c r="J34" s="56" t="s">
        <v>28</v>
      </c>
      <c r="K34" s="48">
        <f t="shared" ref="K34:L34" si="38">1-K30/K31</f>
        <v>0.03847047248</v>
      </c>
      <c r="L34" s="48">
        <f t="shared" si="38"/>
        <v>-0.01831905995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0"/>
      <c r="B35" s="49" t="s">
        <v>29</v>
      </c>
      <c r="C35" s="50">
        <f t="shared" ref="C35:G35" si="39">SUM(C28:C34)</f>
        <v>1038675</v>
      </c>
      <c r="D35" s="50">
        <f t="shared" si="39"/>
        <v>1911552</v>
      </c>
      <c r="E35" s="50">
        <f t="shared" si="39"/>
        <v>2950227</v>
      </c>
      <c r="F35" s="57">
        <f t="shared" si="39"/>
        <v>775</v>
      </c>
      <c r="G35" s="57">
        <f t="shared" si="39"/>
        <v>1633</v>
      </c>
      <c r="H35" s="50">
        <f t="shared" ref="H35:I35" si="40">C35/F35</f>
        <v>1340.225806</v>
      </c>
      <c r="I35" s="51">
        <f t="shared" si="40"/>
        <v>1170.576852</v>
      </c>
      <c r="J35" s="54"/>
      <c r="K35" s="53"/>
      <c r="L35" s="5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2" t="s">
        <v>18</v>
      </c>
      <c r="B36" s="35">
        <v>18.0</v>
      </c>
      <c r="C36" s="36">
        <v>112378.0</v>
      </c>
      <c r="D36" s="36">
        <v>238061.0</v>
      </c>
      <c r="E36" s="36">
        <f t="shared" ref="E36:E42" si="42">SUM(C36:D36)</f>
        <v>350439</v>
      </c>
      <c r="F36" s="37">
        <v>86.0</v>
      </c>
      <c r="G36" s="37">
        <v>197.0</v>
      </c>
      <c r="H36" s="36">
        <f t="shared" ref="H36:I36" si="41">C36/F36</f>
        <v>1306.72093</v>
      </c>
      <c r="I36" s="38">
        <f t="shared" si="41"/>
        <v>1208.431472</v>
      </c>
      <c r="J36" s="172"/>
      <c r="K36" s="61" t="s">
        <v>30</v>
      </c>
      <c r="L36" s="5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2" t="s">
        <v>19</v>
      </c>
      <c r="B37" s="35">
        <v>19.0</v>
      </c>
      <c r="C37" s="36">
        <v>116657.0</v>
      </c>
      <c r="D37" s="36">
        <v>186268.0</v>
      </c>
      <c r="E37" s="36">
        <f t="shared" si="42"/>
        <v>302925</v>
      </c>
      <c r="F37" s="37">
        <v>83.0</v>
      </c>
      <c r="G37" s="37">
        <v>179.0</v>
      </c>
      <c r="H37" s="36">
        <f t="shared" ref="H37:I37" si="43">C37/F37</f>
        <v>1405.506024</v>
      </c>
      <c r="I37" s="38">
        <f t="shared" si="43"/>
        <v>1040.603352</v>
      </c>
      <c r="J37" s="55"/>
      <c r="K37" s="56" t="s">
        <v>15</v>
      </c>
      <c r="L37" s="56" t="s">
        <v>16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2" t="s">
        <v>20</v>
      </c>
      <c r="B38" s="35">
        <v>20.0</v>
      </c>
      <c r="C38" s="36">
        <v>165272.0</v>
      </c>
      <c r="D38" s="36">
        <v>233510.0</v>
      </c>
      <c r="E38" s="36">
        <f t="shared" si="42"/>
        <v>398782</v>
      </c>
      <c r="F38" s="37">
        <v>125.0</v>
      </c>
      <c r="G38" s="37">
        <v>196.0</v>
      </c>
      <c r="H38" s="36">
        <f t="shared" ref="H38:I38" si="44">C38/F38</f>
        <v>1322.176</v>
      </c>
      <c r="I38" s="38">
        <f t="shared" si="44"/>
        <v>1191.377551</v>
      </c>
      <c r="J38" s="42" t="s">
        <v>21</v>
      </c>
      <c r="K38" s="36">
        <f t="shared" ref="K38:L38" si="45">SUM(C36:C39)</f>
        <v>541646</v>
      </c>
      <c r="L38" s="36">
        <f t="shared" si="45"/>
        <v>865543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2" t="s">
        <v>22</v>
      </c>
      <c r="B39" s="35">
        <v>21.0</v>
      </c>
      <c r="C39" s="36">
        <v>147339.0</v>
      </c>
      <c r="D39" s="36">
        <v>207704.0</v>
      </c>
      <c r="E39" s="36">
        <f t="shared" si="42"/>
        <v>355043</v>
      </c>
      <c r="F39" s="37">
        <v>107.0</v>
      </c>
      <c r="G39" s="37">
        <v>187.0</v>
      </c>
      <c r="H39" s="36">
        <f t="shared" ref="H39:I39" si="46">C39/F39</f>
        <v>1377</v>
      </c>
      <c r="I39" s="38">
        <f t="shared" si="46"/>
        <v>1110.716578</v>
      </c>
      <c r="J39" s="56" t="s">
        <v>23</v>
      </c>
      <c r="K39" s="36">
        <f t="shared" ref="K39:L39" si="47">SUM(C40:C42)</f>
        <v>555377</v>
      </c>
      <c r="L39" s="36">
        <f t="shared" si="47"/>
        <v>922805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4" t="s">
        <v>24</v>
      </c>
      <c r="B40" s="35">
        <v>22.0</v>
      </c>
      <c r="C40" s="45">
        <v>199202.0</v>
      </c>
      <c r="D40" s="45">
        <v>292618.0</v>
      </c>
      <c r="E40" s="47">
        <f t="shared" si="42"/>
        <v>491820</v>
      </c>
      <c r="F40" s="46">
        <v>144.0</v>
      </c>
      <c r="G40" s="46">
        <v>236.0</v>
      </c>
      <c r="H40" s="45">
        <f t="shared" ref="H40:I40" si="48">C40/F40</f>
        <v>1383.347222</v>
      </c>
      <c r="I40" s="47">
        <f t="shared" si="48"/>
        <v>1239.90678</v>
      </c>
      <c r="J40" s="56" t="s">
        <v>17</v>
      </c>
      <c r="K40" s="36">
        <f t="shared" ref="K40:L40" si="49">SUM(K38:K39)</f>
        <v>1097023</v>
      </c>
      <c r="L40" s="36">
        <f t="shared" si="49"/>
        <v>1788348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4" t="s">
        <v>25</v>
      </c>
      <c r="B41" s="35">
        <v>23.0</v>
      </c>
      <c r="C41" s="45">
        <v>192194.0</v>
      </c>
      <c r="D41" s="45">
        <v>342265.0</v>
      </c>
      <c r="E41" s="47">
        <f t="shared" si="42"/>
        <v>534459</v>
      </c>
      <c r="F41" s="46">
        <v>141.0</v>
      </c>
      <c r="G41" s="46">
        <v>259.0</v>
      </c>
      <c r="H41" s="45">
        <f t="shared" ref="H41:I41" si="50">C41/F41</f>
        <v>1363.078014</v>
      </c>
      <c r="I41" s="47">
        <f t="shared" si="50"/>
        <v>1321.486486</v>
      </c>
      <c r="J41" s="42" t="s">
        <v>26</v>
      </c>
      <c r="K41" s="48">
        <f t="shared" ref="K41:L41" si="51">K38/K39</f>
        <v>0.9752762538</v>
      </c>
      <c r="L41" s="48">
        <f t="shared" si="51"/>
        <v>0.9379478871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4" t="s">
        <v>27</v>
      </c>
      <c r="B42" s="35">
        <v>24.0</v>
      </c>
      <c r="C42" s="45">
        <v>163981.0</v>
      </c>
      <c r="D42" s="45">
        <v>287922.0</v>
      </c>
      <c r="E42" s="47">
        <f t="shared" si="42"/>
        <v>451903</v>
      </c>
      <c r="F42" s="46">
        <v>125.0</v>
      </c>
      <c r="G42" s="46">
        <v>235.0</v>
      </c>
      <c r="H42" s="45">
        <f t="shared" ref="H42:I42" si="52">C42/F42</f>
        <v>1311.848</v>
      </c>
      <c r="I42" s="47">
        <f t="shared" si="52"/>
        <v>1225.2</v>
      </c>
      <c r="J42" s="56" t="s">
        <v>28</v>
      </c>
      <c r="K42" s="48">
        <f t="shared" ref="K42:L42" si="53">1-K38/K39</f>
        <v>0.02472374621</v>
      </c>
      <c r="L42" s="48">
        <f t="shared" si="53"/>
        <v>0.06205211285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0"/>
      <c r="B43" s="49" t="s">
        <v>29</v>
      </c>
      <c r="C43" s="50">
        <f t="shared" ref="C43:G43" si="54">SUM(C36:C42)</f>
        <v>1097023</v>
      </c>
      <c r="D43" s="50">
        <f t="shared" si="54"/>
        <v>1788348</v>
      </c>
      <c r="E43" s="50">
        <f t="shared" si="54"/>
        <v>2885371</v>
      </c>
      <c r="F43" s="57">
        <f t="shared" si="54"/>
        <v>811</v>
      </c>
      <c r="G43" s="57">
        <f t="shared" si="54"/>
        <v>1489</v>
      </c>
      <c r="H43" s="50">
        <f t="shared" ref="H43:I43" si="55">C43/F43</f>
        <v>1352.679408</v>
      </c>
      <c r="I43" s="51">
        <f t="shared" si="55"/>
        <v>1201.039624</v>
      </c>
      <c r="J43" s="54"/>
      <c r="K43" s="53"/>
      <c r="L43" s="53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2" t="s">
        <v>18</v>
      </c>
      <c r="B44" s="35">
        <v>25.0</v>
      </c>
      <c r="C44" s="36">
        <v>115516.0</v>
      </c>
      <c r="D44" s="36">
        <v>239333.0</v>
      </c>
      <c r="E44" s="38">
        <f t="shared" ref="E44:E50" si="57">SUM(C44:D44)</f>
        <v>354849</v>
      </c>
      <c r="F44" s="37">
        <v>86.0</v>
      </c>
      <c r="G44" s="37">
        <v>195.0</v>
      </c>
      <c r="H44" s="36">
        <f t="shared" ref="H44:I44" si="56">C44/F44</f>
        <v>1343.209302</v>
      </c>
      <c r="I44" s="38">
        <f t="shared" si="56"/>
        <v>1227.348718</v>
      </c>
      <c r="J44" s="172"/>
      <c r="K44" s="52"/>
      <c r="L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2" t="s">
        <v>19</v>
      </c>
      <c r="B45" s="35">
        <v>26.0</v>
      </c>
      <c r="C45" s="36">
        <v>126551.0</v>
      </c>
      <c r="D45" s="36">
        <v>215727.0</v>
      </c>
      <c r="E45" s="38">
        <f t="shared" si="57"/>
        <v>342278</v>
      </c>
      <c r="F45" s="37">
        <v>104.0</v>
      </c>
      <c r="G45" s="37">
        <v>222.0</v>
      </c>
      <c r="H45" s="36">
        <f t="shared" ref="H45:I45" si="58">C45/F45</f>
        <v>1216.836538</v>
      </c>
      <c r="I45" s="38">
        <f t="shared" si="58"/>
        <v>971.7432432</v>
      </c>
      <c r="J45" s="55"/>
      <c r="K45" s="56" t="s">
        <v>15</v>
      </c>
      <c r="L45" s="56" t="s">
        <v>16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2" t="s">
        <v>20</v>
      </c>
      <c r="B46" s="35">
        <v>27.0</v>
      </c>
      <c r="C46" s="36">
        <v>104012.0</v>
      </c>
      <c r="D46" s="36">
        <v>245884.0</v>
      </c>
      <c r="E46" s="38">
        <f t="shared" si="57"/>
        <v>349896</v>
      </c>
      <c r="F46" s="37">
        <v>88.0</v>
      </c>
      <c r="G46" s="37">
        <v>254.0</v>
      </c>
      <c r="H46" s="36">
        <f t="shared" ref="H46:I46" si="59">C46/F46</f>
        <v>1181.954545</v>
      </c>
      <c r="I46" s="38">
        <f t="shared" si="59"/>
        <v>968.0472441</v>
      </c>
      <c r="J46" s="42" t="s">
        <v>21</v>
      </c>
      <c r="K46" s="36">
        <f t="shared" ref="K46:L46" si="60">SUM(C44:C47)</f>
        <v>473965</v>
      </c>
      <c r="L46" s="36">
        <f t="shared" si="60"/>
        <v>958359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2" t="s">
        <v>22</v>
      </c>
      <c r="B47" s="35">
        <v>28.0</v>
      </c>
      <c r="C47" s="36">
        <v>127886.0</v>
      </c>
      <c r="D47" s="36">
        <v>257415.0</v>
      </c>
      <c r="E47" s="36">
        <f t="shared" si="57"/>
        <v>385301</v>
      </c>
      <c r="F47" s="37">
        <v>85.0</v>
      </c>
      <c r="G47" s="37">
        <v>228.0</v>
      </c>
      <c r="H47" s="36">
        <f t="shared" ref="H47:I47" si="61">C47/F47</f>
        <v>1504.541176</v>
      </c>
      <c r="I47" s="38">
        <f t="shared" si="61"/>
        <v>1129.013158</v>
      </c>
      <c r="J47" s="56" t="s">
        <v>23</v>
      </c>
      <c r="K47" s="36">
        <f t="shared" ref="K47:L47" si="62">SUM(C48:C50)</f>
        <v>560427</v>
      </c>
      <c r="L47" s="36">
        <f t="shared" si="62"/>
        <v>820243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4" t="s">
        <v>24</v>
      </c>
      <c r="B48" s="35">
        <v>29.0</v>
      </c>
      <c r="C48" s="45">
        <v>205124.0</v>
      </c>
      <c r="D48" s="45">
        <v>280969.0</v>
      </c>
      <c r="E48" s="45">
        <f t="shared" si="57"/>
        <v>486093</v>
      </c>
      <c r="F48" s="46">
        <v>155.0</v>
      </c>
      <c r="G48" s="46">
        <v>258.0</v>
      </c>
      <c r="H48" s="45">
        <f t="shared" ref="H48:I48" si="63">C48/F48</f>
        <v>1323.380645</v>
      </c>
      <c r="I48" s="47">
        <f t="shared" si="63"/>
        <v>1089.027132</v>
      </c>
      <c r="J48" s="56" t="s">
        <v>17</v>
      </c>
      <c r="K48" s="36">
        <f t="shared" ref="K48:L48" si="64">SUM(K46:K47)</f>
        <v>1034392</v>
      </c>
      <c r="L48" s="36">
        <f t="shared" si="64"/>
        <v>1778602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4" t="s">
        <v>25</v>
      </c>
      <c r="B49" s="35">
        <v>30.0</v>
      </c>
      <c r="C49" s="45">
        <v>198618.0</v>
      </c>
      <c r="D49" s="45">
        <v>305636.0</v>
      </c>
      <c r="E49" s="45">
        <f t="shared" si="57"/>
        <v>504254</v>
      </c>
      <c r="F49" s="46">
        <v>133.0</v>
      </c>
      <c r="G49" s="46">
        <v>249.0</v>
      </c>
      <c r="H49" s="45">
        <f t="shared" ref="H49:I49" si="65">C49/F49</f>
        <v>1493.368421</v>
      </c>
      <c r="I49" s="47">
        <f t="shared" si="65"/>
        <v>1227.453815</v>
      </c>
      <c r="J49" s="42" t="s">
        <v>26</v>
      </c>
      <c r="K49" s="48">
        <f t="shared" ref="K49:L49" si="66">K46/K47</f>
        <v>0.845721209</v>
      </c>
      <c r="L49" s="48">
        <f t="shared" si="66"/>
        <v>1.168384247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4" t="s">
        <v>27</v>
      </c>
      <c r="B50" s="35">
        <v>31.0</v>
      </c>
      <c r="C50" s="45">
        <v>156685.0</v>
      </c>
      <c r="D50" s="45">
        <v>233638.0</v>
      </c>
      <c r="E50" s="47">
        <f t="shared" si="57"/>
        <v>390323</v>
      </c>
      <c r="F50" s="46">
        <v>111.0</v>
      </c>
      <c r="G50" s="46">
        <v>184.0</v>
      </c>
      <c r="H50" s="45">
        <f t="shared" ref="H50:I50" si="67">C50/F50</f>
        <v>1411.576577</v>
      </c>
      <c r="I50" s="47">
        <f t="shared" si="67"/>
        <v>1269.771739</v>
      </c>
      <c r="J50" s="56" t="s">
        <v>28</v>
      </c>
      <c r="K50" s="48">
        <f t="shared" ref="K50:L50" si="68">1-K46/K47</f>
        <v>0.154278791</v>
      </c>
      <c r="L50" s="48">
        <f t="shared" si="68"/>
        <v>-0.1683842471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0"/>
      <c r="B51" s="173" t="s">
        <v>29</v>
      </c>
      <c r="C51" s="50">
        <f t="shared" ref="C51:G51" si="69">SUM(C44:C50)</f>
        <v>1034392</v>
      </c>
      <c r="D51" s="50">
        <f t="shared" si="69"/>
        <v>1778602</v>
      </c>
      <c r="E51" s="50">
        <f t="shared" si="69"/>
        <v>2812994</v>
      </c>
      <c r="F51" s="57">
        <f t="shared" si="69"/>
        <v>762</v>
      </c>
      <c r="G51" s="57">
        <f t="shared" si="69"/>
        <v>1590</v>
      </c>
      <c r="H51" s="50">
        <f t="shared" ref="H51:I51" si="70">C51/F51</f>
        <v>1357.469816</v>
      </c>
      <c r="I51" s="51">
        <f t="shared" si="70"/>
        <v>1118.61761</v>
      </c>
      <c r="J51" s="54"/>
      <c r="K51" s="52"/>
      <c r="L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/>
      <c r="B52" s="42" t="s">
        <v>29</v>
      </c>
      <c r="C52" s="36">
        <f t="shared" ref="C52:G52" si="71">SUM(C51,C27,C35,C43,C19)</f>
        <v>4818780</v>
      </c>
      <c r="D52" s="36">
        <f t="shared" si="71"/>
        <v>8018161</v>
      </c>
      <c r="E52" s="36">
        <f t="shared" si="71"/>
        <v>12836941</v>
      </c>
      <c r="F52" s="36">
        <f t="shared" si="71"/>
        <v>3574</v>
      </c>
      <c r="G52" s="36">
        <f t="shared" si="71"/>
        <v>6881</v>
      </c>
      <c r="H52" s="36">
        <f t="shared" ref="H52:I52" si="72">C52/F52</f>
        <v>1348.287633</v>
      </c>
      <c r="I52" s="38">
        <f t="shared" si="72"/>
        <v>1165.261009</v>
      </c>
      <c r="J52" s="64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/>
      <c r="B53" s="42" t="s">
        <v>31</v>
      </c>
      <c r="C53" s="36">
        <v>4530000.0</v>
      </c>
      <c r="D53" s="36">
        <v>8570000.0</v>
      </c>
      <c r="E53" s="36">
        <f>SUM(C53:D53)</f>
        <v>13100000</v>
      </c>
      <c r="F53" s="62"/>
      <c r="G53" s="62"/>
      <c r="H53" s="63"/>
      <c r="I53" s="63"/>
      <c r="J53" s="1"/>
      <c r="K53" s="1"/>
      <c r="L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0"/>
      <c r="B54" s="56" t="s">
        <v>32</v>
      </c>
      <c r="C54" s="174">
        <f t="shared" ref="C54:E54" si="73">C52/C53</f>
        <v>1.063748344</v>
      </c>
      <c r="D54" s="65">
        <f t="shared" si="73"/>
        <v>0.9356080513</v>
      </c>
      <c r="E54" s="65">
        <f t="shared" si="73"/>
        <v>0.9799191603</v>
      </c>
      <c r="F54" s="62"/>
      <c r="G54" s="62"/>
      <c r="H54" s="66"/>
      <c r="I54" s="66"/>
      <c r="J54" s="1"/>
      <c r="K54" s="1"/>
      <c r="L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0"/>
      <c r="B55" s="42" t="s">
        <v>33</v>
      </c>
      <c r="C55" s="36">
        <f t="shared" ref="C55:E55" si="74">C52/31</f>
        <v>155444.5161</v>
      </c>
      <c r="D55" s="36">
        <f t="shared" si="74"/>
        <v>258650.3548</v>
      </c>
      <c r="E55" s="36">
        <f t="shared" si="74"/>
        <v>414094.871</v>
      </c>
      <c r="F55" s="62"/>
      <c r="G55" s="62"/>
      <c r="H55" s="63"/>
      <c r="I55" s="63"/>
      <c r="J55" s="1"/>
      <c r="K55" s="1"/>
      <c r="L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/>
      <c r="B56" s="5"/>
      <c r="C56" s="67"/>
      <c r="D56" s="67"/>
      <c r="E56" s="6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34</v>
      </c>
      <c r="B57" s="3"/>
      <c r="C57" s="3"/>
      <c r="D57" s="3"/>
      <c r="E57" s="3"/>
      <c r="F57" s="3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/>
      <c r="B58" s="7"/>
      <c r="C58" s="7"/>
      <c r="D58" s="7"/>
      <c r="E58" s="7"/>
      <c r="F58" s="7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1</v>
      </c>
      <c r="B59" s="10" t="s">
        <v>35</v>
      </c>
      <c r="C59" s="10" t="s">
        <v>36</v>
      </c>
      <c r="D59" s="10" t="s">
        <v>37</v>
      </c>
      <c r="E59" s="10" t="s">
        <v>38</v>
      </c>
      <c r="F59" s="10" t="s">
        <v>39</v>
      </c>
      <c r="G59" s="10" t="s">
        <v>40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8</v>
      </c>
      <c r="B60" s="11">
        <v>3830000.0</v>
      </c>
      <c r="C60" s="12">
        <v>3898000.0</v>
      </c>
      <c r="D60" s="11">
        <v>4530000.0</v>
      </c>
      <c r="E60" s="12">
        <v>4818780.0</v>
      </c>
      <c r="F60" s="15">
        <f t="shared" ref="F60:F61" si="75">C60/B60</f>
        <v>1.017754569</v>
      </c>
      <c r="G60" s="16">
        <f t="shared" ref="G60:G61" si="76">E60/D60</f>
        <v>1.063748344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 t="s">
        <v>9</v>
      </c>
      <c r="B61" s="11">
        <v>7980000.0</v>
      </c>
      <c r="C61" s="12">
        <v>7427000.0</v>
      </c>
      <c r="D61" s="11">
        <v>8570000.0</v>
      </c>
      <c r="E61" s="12">
        <v>8018161.0</v>
      </c>
      <c r="F61" s="15">
        <f t="shared" si="75"/>
        <v>0.9307017544</v>
      </c>
      <c r="G61" s="16">
        <f t="shared" si="76"/>
        <v>0.9356080513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0" t="s">
        <v>1</v>
      </c>
      <c r="B63" s="71" t="s">
        <v>41</v>
      </c>
      <c r="C63" s="71" t="s">
        <v>42</v>
      </c>
      <c r="D63" s="1"/>
      <c r="E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0" t="s">
        <v>8</v>
      </c>
      <c r="B64" s="72">
        <f t="shared" ref="B64:C64" si="77">(D60-B60)/B60</f>
        <v>0.182767624</v>
      </c>
      <c r="C64" s="72">
        <f t="shared" si="77"/>
        <v>0.2362185736</v>
      </c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0" t="s">
        <v>9</v>
      </c>
      <c r="B65" s="72">
        <f t="shared" ref="B65:C65" si="78">(D61-B61)/B61</f>
        <v>0.07393483709</v>
      </c>
      <c r="C65" s="72">
        <f t="shared" si="78"/>
        <v>0.07959620304</v>
      </c>
      <c r="D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2"/>
      <c r="D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3" t="s">
        <v>43</v>
      </c>
      <c r="B67" s="27"/>
      <c r="C67" s="27"/>
      <c r="D67" s="28"/>
      <c r="E67" s="5"/>
      <c r="F67" s="7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5"/>
      <c r="B68" s="43" t="s">
        <v>15</v>
      </c>
      <c r="C68" s="32" t="s">
        <v>16</v>
      </c>
      <c r="D68" s="32" t="s">
        <v>17</v>
      </c>
      <c r="E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5">
        <v>1.0</v>
      </c>
      <c r="B69" s="46">
        <v>18.0</v>
      </c>
      <c r="C69" s="46">
        <v>23.0</v>
      </c>
      <c r="D69" s="46">
        <f t="shared" ref="D69:D71" si="79">SUM(B69:C69)</f>
        <v>41</v>
      </c>
      <c r="E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5">
        <v>2.0</v>
      </c>
      <c r="B70" s="46">
        <v>9.0</v>
      </c>
      <c r="C70" s="46">
        <v>18.0</v>
      </c>
      <c r="D70" s="46">
        <f t="shared" si="79"/>
        <v>27</v>
      </c>
      <c r="E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5">
        <v>3.0</v>
      </c>
      <c r="B71" s="46">
        <v>13.0</v>
      </c>
      <c r="C71" s="46">
        <v>13.0</v>
      </c>
      <c r="D71" s="46">
        <f t="shared" si="79"/>
        <v>26</v>
      </c>
      <c r="E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49" t="s">
        <v>29</v>
      </c>
      <c r="B72" s="50">
        <f t="shared" ref="B72:D72" si="80">SUM(B69:B71)</f>
        <v>40</v>
      </c>
      <c r="C72" s="50">
        <f t="shared" si="80"/>
        <v>54</v>
      </c>
      <c r="D72" s="50">
        <f t="shared" si="80"/>
        <v>94</v>
      </c>
      <c r="E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5">
        <v>4.0</v>
      </c>
      <c r="B73" s="37">
        <v>11.0</v>
      </c>
      <c r="C73" s="37">
        <v>20.0</v>
      </c>
      <c r="D73" s="37">
        <f t="shared" ref="D73:D79" si="81">SUM(B73:C73)</f>
        <v>31</v>
      </c>
      <c r="E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5">
        <v>5.0</v>
      </c>
      <c r="B74" s="37">
        <v>8.0</v>
      </c>
      <c r="C74" s="37">
        <v>23.0</v>
      </c>
      <c r="D74" s="37">
        <f t="shared" si="81"/>
        <v>31</v>
      </c>
      <c r="E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5">
        <v>6.0</v>
      </c>
      <c r="B75" s="37">
        <v>10.0</v>
      </c>
      <c r="C75" s="37">
        <v>26.0</v>
      </c>
      <c r="D75" s="37">
        <f t="shared" si="81"/>
        <v>36</v>
      </c>
      <c r="E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5">
        <v>7.0</v>
      </c>
      <c r="B76" s="37">
        <v>7.0</v>
      </c>
      <c r="C76" s="37">
        <v>17.0</v>
      </c>
      <c r="D76" s="37">
        <f t="shared" si="81"/>
        <v>24</v>
      </c>
      <c r="E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5">
        <v>8.0</v>
      </c>
      <c r="B77" s="46">
        <v>12.0</v>
      </c>
      <c r="C77" s="46">
        <v>31.0</v>
      </c>
      <c r="D77" s="46">
        <f t="shared" si="81"/>
        <v>43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5">
        <v>9.0</v>
      </c>
      <c r="B78" s="46">
        <v>21.0</v>
      </c>
      <c r="C78" s="46">
        <v>20.0</v>
      </c>
      <c r="D78" s="46">
        <f t="shared" si="81"/>
        <v>41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5">
        <v>10.0</v>
      </c>
      <c r="B79" s="46">
        <v>16.0</v>
      </c>
      <c r="C79" s="46">
        <v>17.0</v>
      </c>
      <c r="D79" s="46">
        <f t="shared" si="81"/>
        <v>33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9" t="s">
        <v>29</v>
      </c>
      <c r="B80" s="57">
        <f t="shared" ref="B80:D80" si="82">SUM(B73:B79)</f>
        <v>85</v>
      </c>
      <c r="C80" s="57">
        <f t="shared" si="82"/>
        <v>154</v>
      </c>
      <c r="D80" s="57">
        <f t="shared" si="82"/>
        <v>239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5">
        <v>11.0</v>
      </c>
      <c r="B81" s="37">
        <v>9.0</v>
      </c>
      <c r="C81" s="37">
        <v>19.0</v>
      </c>
      <c r="D81" s="37">
        <f t="shared" ref="D81:D87" si="83">SUM(B81:C81)</f>
        <v>28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5">
        <v>12.0</v>
      </c>
      <c r="B82" s="37">
        <v>10.0</v>
      </c>
      <c r="C82" s="37">
        <v>31.0</v>
      </c>
      <c r="D82" s="37">
        <f t="shared" si="83"/>
        <v>41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5">
        <v>13.0</v>
      </c>
      <c r="B83" s="37">
        <v>7.0</v>
      </c>
      <c r="C83" s="37">
        <v>18.0</v>
      </c>
      <c r="D83" s="37">
        <f t="shared" si="83"/>
        <v>25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5">
        <v>14.0</v>
      </c>
      <c r="B84" s="46">
        <v>8.0</v>
      </c>
      <c r="C84" s="46">
        <v>27.0</v>
      </c>
      <c r="D84" s="46">
        <f t="shared" si="83"/>
        <v>35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5">
        <v>15.0</v>
      </c>
      <c r="B85" s="46">
        <v>18.0</v>
      </c>
      <c r="C85" s="46">
        <v>23.0</v>
      </c>
      <c r="D85" s="46">
        <f t="shared" si="83"/>
        <v>41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5">
        <v>16.0</v>
      </c>
      <c r="B86" s="46">
        <v>13.0</v>
      </c>
      <c r="C86" s="46">
        <v>27.0</v>
      </c>
      <c r="D86" s="46">
        <f t="shared" si="83"/>
        <v>40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5">
        <v>17.0</v>
      </c>
      <c r="B87" s="46">
        <v>18.0</v>
      </c>
      <c r="C87" s="46">
        <v>16.0</v>
      </c>
      <c r="D87" s="46">
        <f t="shared" si="83"/>
        <v>34</v>
      </c>
    </row>
    <row r="88">
      <c r="A88" s="49" t="s">
        <v>29</v>
      </c>
      <c r="B88" s="57">
        <f t="shared" ref="B88:D88" si="84">SUM(B81:B87)</f>
        <v>83</v>
      </c>
      <c r="C88" s="57">
        <f t="shared" si="84"/>
        <v>161</v>
      </c>
      <c r="D88" s="57">
        <f t="shared" si="84"/>
        <v>244</v>
      </c>
    </row>
    <row r="89">
      <c r="A89" s="35">
        <v>18.0</v>
      </c>
      <c r="B89" s="37">
        <v>10.0</v>
      </c>
      <c r="C89" s="37">
        <v>18.0</v>
      </c>
      <c r="D89" s="37">
        <f t="shared" ref="D89:D95" si="85">SUM(B89:C89)</f>
        <v>28</v>
      </c>
    </row>
    <row r="90">
      <c r="A90" s="35">
        <v>19.0</v>
      </c>
      <c r="B90" s="37">
        <v>7.0</v>
      </c>
      <c r="C90" s="37">
        <v>14.0</v>
      </c>
      <c r="D90" s="37">
        <f t="shared" si="85"/>
        <v>21</v>
      </c>
    </row>
    <row r="91">
      <c r="A91" s="35">
        <v>20.0</v>
      </c>
      <c r="B91" s="37">
        <v>12.0</v>
      </c>
      <c r="C91" s="37">
        <v>16.0</v>
      </c>
      <c r="D91" s="37">
        <f t="shared" si="85"/>
        <v>28</v>
      </c>
    </row>
    <row r="92">
      <c r="A92" s="35">
        <v>21.0</v>
      </c>
      <c r="B92" s="37">
        <v>11.0</v>
      </c>
      <c r="C92" s="37">
        <v>15.0</v>
      </c>
      <c r="D92" s="37">
        <f t="shared" si="85"/>
        <v>26</v>
      </c>
    </row>
    <row r="93">
      <c r="A93" s="35">
        <v>22.0</v>
      </c>
      <c r="B93" s="46">
        <v>9.0</v>
      </c>
      <c r="C93" s="46">
        <v>26.0</v>
      </c>
      <c r="D93" s="46">
        <f t="shared" si="85"/>
        <v>35</v>
      </c>
    </row>
    <row r="94">
      <c r="A94" s="35">
        <v>23.0</v>
      </c>
      <c r="B94" s="46">
        <v>14.0</v>
      </c>
      <c r="C94" s="46">
        <v>25.0</v>
      </c>
      <c r="D94" s="46">
        <f t="shared" si="85"/>
        <v>39</v>
      </c>
    </row>
    <row r="95">
      <c r="A95" s="35">
        <v>24.0</v>
      </c>
      <c r="B95" s="46">
        <v>14.0</v>
      </c>
      <c r="C95" s="46">
        <v>26.0</v>
      </c>
      <c r="D95" s="46">
        <f t="shared" si="85"/>
        <v>40</v>
      </c>
    </row>
    <row r="96">
      <c r="A96" s="49" t="s">
        <v>29</v>
      </c>
      <c r="B96" s="57">
        <f t="shared" ref="B96:D96" si="86">SUM(B89:B95)</f>
        <v>77</v>
      </c>
      <c r="C96" s="57">
        <f t="shared" si="86"/>
        <v>140</v>
      </c>
      <c r="D96" s="57">
        <f t="shared" si="86"/>
        <v>217</v>
      </c>
    </row>
    <row r="97">
      <c r="A97" s="35">
        <v>25.0</v>
      </c>
      <c r="B97" s="37">
        <v>6.0</v>
      </c>
      <c r="C97" s="37">
        <v>19.0</v>
      </c>
      <c r="D97" s="37">
        <f t="shared" ref="D97:D103" si="87">SUM(B97:C97)</f>
        <v>25</v>
      </c>
    </row>
    <row r="98">
      <c r="A98" s="35">
        <v>26.0</v>
      </c>
      <c r="B98" s="37">
        <v>11.0</v>
      </c>
      <c r="C98" s="37">
        <v>17.0</v>
      </c>
      <c r="D98" s="37">
        <f t="shared" si="87"/>
        <v>28</v>
      </c>
    </row>
    <row r="99">
      <c r="A99" s="35">
        <v>27.0</v>
      </c>
      <c r="B99" s="37">
        <v>6.0</v>
      </c>
      <c r="C99" s="37">
        <v>15.0</v>
      </c>
      <c r="D99" s="37">
        <f t="shared" si="87"/>
        <v>21</v>
      </c>
    </row>
    <row r="100">
      <c r="A100" s="35">
        <v>28.0</v>
      </c>
      <c r="B100" s="37">
        <v>6.0</v>
      </c>
      <c r="C100" s="37">
        <v>15.0</v>
      </c>
      <c r="D100" s="37">
        <f t="shared" si="87"/>
        <v>21</v>
      </c>
    </row>
    <row r="101">
      <c r="A101" s="35">
        <v>29.0</v>
      </c>
      <c r="B101" s="46">
        <v>14.0</v>
      </c>
      <c r="C101" s="46">
        <v>21.0</v>
      </c>
      <c r="D101" s="46">
        <f t="shared" si="87"/>
        <v>35</v>
      </c>
    </row>
    <row r="102">
      <c r="A102" s="35">
        <v>30.0</v>
      </c>
      <c r="B102" s="46">
        <v>14.0</v>
      </c>
      <c r="C102" s="46">
        <v>31.0</v>
      </c>
      <c r="D102" s="46">
        <f t="shared" si="87"/>
        <v>45</v>
      </c>
    </row>
    <row r="103">
      <c r="A103" s="35">
        <v>31.0</v>
      </c>
      <c r="B103" s="46">
        <v>7.0</v>
      </c>
      <c r="C103" s="46">
        <v>18.0</v>
      </c>
      <c r="D103" s="46">
        <f t="shared" si="87"/>
        <v>25</v>
      </c>
    </row>
    <row r="104">
      <c r="A104" s="175" t="s">
        <v>29</v>
      </c>
      <c r="B104" s="57">
        <f t="shared" ref="B104:D104" si="88">SUM(B97:B103)</f>
        <v>64</v>
      </c>
      <c r="C104" s="57">
        <f t="shared" si="88"/>
        <v>136</v>
      </c>
      <c r="D104" s="57">
        <f t="shared" si="88"/>
        <v>200</v>
      </c>
    </row>
    <row r="105">
      <c r="A105" s="32" t="s">
        <v>29</v>
      </c>
      <c r="B105" s="36">
        <f t="shared" ref="B105:D105" si="89">SUM(B72,B104,B80,B88,B96)</f>
        <v>349</v>
      </c>
      <c r="C105" s="36">
        <f t="shared" si="89"/>
        <v>645</v>
      </c>
      <c r="D105" s="36">
        <f t="shared" si="89"/>
        <v>994</v>
      </c>
    </row>
    <row r="106">
      <c r="A106" s="32" t="s">
        <v>31</v>
      </c>
      <c r="B106" s="37">
        <v>330.0</v>
      </c>
      <c r="C106" s="37">
        <v>770.0</v>
      </c>
      <c r="D106" s="37">
        <f>SUM(B106:C106)</f>
        <v>1100</v>
      </c>
    </row>
    <row r="107">
      <c r="A107" s="32" t="s">
        <v>32</v>
      </c>
      <c r="B107" s="174">
        <f t="shared" ref="B107:D107" si="90">B105/B106</f>
        <v>1.057575758</v>
      </c>
      <c r="C107" s="65">
        <f t="shared" si="90"/>
        <v>0.8376623377</v>
      </c>
      <c r="D107" s="65">
        <f t="shared" si="90"/>
        <v>0.9036363636</v>
      </c>
    </row>
    <row r="108">
      <c r="A108" s="32" t="s">
        <v>33</v>
      </c>
      <c r="B108" s="36">
        <f t="shared" ref="B108:D108" si="91">B105/31</f>
        <v>11.25806452</v>
      </c>
      <c r="C108" s="36">
        <f t="shared" si="91"/>
        <v>20.80645161</v>
      </c>
      <c r="D108" s="36">
        <f t="shared" si="91"/>
        <v>32.06451613</v>
      </c>
    </row>
    <row r="109">
      <c r="A109" s="1"/>
      <c r="B109" s="76"/>
      <c r="C109" s="77"/>
      <c r="D109" s="76"/>
    </row>
    <row r="110">
      <c r="C110" s="78"/>
    </row>
    <row r="112">
      <c r="A112" s="79" t="s">
        <v>44</v>
      </c>
      <c r="B112" s="27"/>
      <c r="C112" s="27"/>
      <c r="D112" s="28"/>
    </row>
    <row r="113">
      <c r="A113" s="80"/>
      <c r="B113" s="81" t="s">
        <v>295</v>
      </c>
      <c r="C113" s="81" t="s">
        <v>296</v>
      </c>
      <c r="D113" s="81" t="s">
        <v>47</v>
      </c>
    </row>
    <row r="114">
      <c r="A114" s="81" t="s">
        <v>48</v>
      </c>
      <c r="B114" s="82">
        <v>1350.0</v>
      </c>
      <c r="C114" s="82">
        <v>1431.0</v>
      </c>
      <c r="D114" s="83">
        <f t="shared" ref="D114:D115" si="92">C114/B114-100%</f>
        <v>0.06</v>
      </c>
    </row>
    <row r="115">
      <c r="A115" s="81" t="s">
        <v>49</v>
      </c>
      <c r="B115" s="82">
        <v>2855.0</v>
      </c>
      <c r="C115" s="82">
        <v>2234.0</v>
      </c>
      <c r="D115" s="83">
        <f t="shared" si="92"/>
        <v>-0.2175131349</v>
      </c>
    </row>
    <row r="121">
      <c r="A121" s="31"/>
      <c r="B121" s="26" t="s">
        <v>12</v>
      </c>
      <c r="C121" s="27"/>
      <c r="D121" s="27"/>
      <c r="E121" s="27"/>
      <c r="F121" s="27"/>
      <c r="G121" s="28"/>
    </row>
    <row r="122">
      <c r="A122" s="31"/>
      <c r="B122" s="32" t="s">
        <v>15</v>
      </c>
      <c r="C122" s="176" t="s">
        <v>297</v>
      </c>
      <c r="D122" s="32" t="s">
        <v>16</v>
      </c>
      <c r="E122" s="176" t="s">
        <v>297</v>
      </c>
      <c r="F122" s="32" t="s">
        <v>17</v>
      </c>
      <c r="G122" s="176" t="s">
        <v>297</v>
      </c>
    </row>
    <row r="123">
      <c r="A123" s="31" t="s">
        <v>298</v>
      </c>
      <c r="B123" s="177">
        <v>4229840.0</v>
      </c>
      <c r="C123" s="91"/>
      <c r="D123" s="178">
        <v>8393877.0</v>
      </c>
      <c r="E123" s="91"/>
      <c r="F123" s="178">
        <f t="shared" ref="F123:F129" si="93">SUM(D123,B123)</f>
        <v>12623717</v>
      </c>
      <c r="G123" s="91"/>
    </row>
    <row r="124">
      <c r="A124" s="31" t="s">
        <v>299</v>
      </c>
      <c r="B124" s="177">
        <v>4168065.0</v>
      </c>
      <c r="C124" s="179">
        <f t="shared" ref="C124:C129" si="94">B124/B123-100%</f>
        <v>-0.01460457133</v>
      </c>
      <c r="D124" s="178">
        <v>7406290.0</v>
      </c>
      <c r="E124" s="179">
        <f t="shared" ref="E124:E129" si="95">D124/D123-100%</f>
        <v>-0.1176556435</v>
      </c>
      <c r="F124" s="178">
        <f t="shared" si="93"/>
        <v>11574355</v>
      </c>
      <c r="G124" s="179">
        <f t="shared" ref="G124:G129" si="96">F124/F123-100%</f>
        <v>-0.08312622978</v>
      </c>
    </row>
    <row r="125">
      <c r="A125" s="31" t="s">
        <v>300</v>
      </c>
      <c r="B125" s="177">
        <v>4581800.0</v>
      </c>
      <c r="C125" s="180">
        <f t="shared" si="94"/>
        <v>0.09926308731</v>
      </c>
      <c r="D125" s="178">
        <v>8159340.0</v>
      </c>
      <c r="E125" s="180">
        <f t="shared" si="95"/>
        <v>0.101677088</v>
      </c>
      <c r="F125" s="178">
        <f t="shared" si="93"/>
        <v>12741140</v>
      </c>
      <c r="G125" s="180">
        <f t="shared" si="96"/>
        <v>0.1008077772</v>
      </c>
    </row>
    <row r="126">
      <c r="A126" s="31" t="s">
        <v>63</v>
      </c>
      <c r="B126" s="177">
        <v>3879279.0</v>
      </c>
      <c r="C126" s="179">
        <f t="shared" si="94"/>
        <v>-0.1533286045</v>
      </c>
      <c r="D126" s="178">
        <v>7242405.0</v>
      </c>
      <c r="E126" s="179">
        <f t="shared" si="95"/>
        <v>-0.1123785747</v>
      </c>
      <c r="F126" s="178">
        <f t="shared" si="93"/>
        <v>11121684</v>
      </c>
      <c r="G126" s="179">
        <f t="shared" si="96"/>
        <v>-0.127104482</v>
      </c>
    </row>
    <row r="127">
      <c r="A127" s="31" t="s">
        <v>67</v>
      </c>
      <c r="B127" s="177">
        <v>4757492.0</v>
      </c>
      <c r="C127" s="180">
        <f t="shared" si="94"/>
        <v>0.2263856248</v>
      </c>
      <c r="D127" s="178">
        <v>8577656.0</v>
      </c>
      <c r="E127" s="180">
        <f t="shared" si="95"/>
        <v>0.1843656907</v>
      </c>
      <c r="F127" s="178">
        <f t="shared" si="93"/>
        <v>13335148</v>
      </c>
      <c r="G127" s="180">
        <f t="shared" si="96"/>
        <v>0.1990223783</v>
      </c>
    </row>
    <row r="128">
      <c r="A128" s="181" t="s">
        <v>71</v>
      </c>
      <c r="B128" s="177">
        <v>4452951.0</v>
      </c>
      <c r="C128" s="179">
        <f t="shared" si="94"/>
        <v>-0.0640129295</v>
      </c>
      <c r="D128" s="178">
        <v>8108611.0</v>
      </c>
      <c r="E128" s="179">
        <f t="shared" si="95"/>
        <v>-0.05468218823</v>
      </c>
      <c r="F128" s="178">
        <f t="shared" si="93"/>
        <v>12561562</v>
      </c>
      <c r="G128" s="179">
        <f t="shared" si="96"/>
        <v>-0.0580110547</v>
      </c>
    </row>
    <row r="129">
      <c r="A129" s="31" t="s">
        <v>75</v>
      </c>
      <c r="B129" s="182">
        <v>4813057.0</v>
      </c>
      <c r="C129" s="180">
        <f t="shared" si="94"/>
        <v>0.08086906862</v>
      </c>
      <c r="D129" s="182">
        <v>8404321.0</v>
      </c>
      <c r="E129" s="180">
        <f t="shared" si="95"/>
        <v>0.03646863809</v>
      </c>
      <c r="F129" s="178">
        <f t="shared" si="93"/>
        <v>13217378</v>
      </c>
      <c r="G129" s="180">
        <f t="shared" si="96"/>
        <v>0.05220815692</v>
      </c>
    </row>
    <row r="130">
      <c r="A130" s="31" t="s">
        <v>79</v>
      </c>
      <c r="B130" s="90" t="s">
        <v>80</v>
      </c>
      <c r="C130" s="94">
        <v>0.0012</v>
      </c>
      <c r="D130" s="92" t="s">
        <v>81</v>
      </c>
      <c r="E130" s="93">
        <v>-0.0459</v>
      </c>
      <c r="F130" s="92" t="s">
        <v>82</v>
      </c>
      <c r="G130" s="93">
        <v>-0.0288</v>
      </c>
    </row>
    <row r="133">
      <c r="A133" s="81" t="s">
        <v>87</v>
      </c>
      <c r="B133" s="81" t="s">
        <v>88</v>
      </c>
      <c r="C133" s="81" t="s">
        <v>301</v>
      </c>
      <c r="D133" s="81" t="s">
        <v>91</v>
      </c>
      <c r="E133" s="81" t="s">
        <v>302</v>
      </c>
    </row>
    <row r="134">
      <c r="A134" s="82" t="s">
        <v>119</v>
      </c>
      <c r="B134" s="82" t="s">
        <v>120</v>
      </c>
      <c r="C134" s="82">
        <v>373.0</v>
      </c>
      <c r="D134" s="102">
        <v>334.0</v>
      </c>
      <c r="E134" s="82">
        <v>386.0</v>
      </c>
    </row>
    <row r="135">
      <c r="A135" s="82" t="s">
        <v>121</v>
      </c>
      <c r="B135" s="82" t="s">
        <v>122</v>
      </c>
      <c r="C135" s="82"/>
      <c r="D135" s="102">
        <v>225.0</v>
      </c>
      <c r="E135" s="82">
        <v>203.0</v>
      </c>
    </row>
    <row r="136">
      <c r="A136" s="82" t="s">
        <v>112</v>
      </c>
      <c r="B136" s="82" t="s">
        <v>113</v>
      </c>
      <c r="C136" s="82">
        <v>294.0</v>
      </c>
      <c r="D136" s="102">
        <v>223.0</v>
      </c>
      <c r="E136" s="82">
        <v>228.0</v>
      </c>
    </row>
    <row r="137">
      <c r="A137" s="82" t="s">
        <v>97</v>
      </c>
      <c r="B137" s="101" t="s">
        <v>98</v>
      </c>
      <c r="C137" s="82">
        <v>136.0</v>
      </c>
      <c r="D137" s="102">
        <v>89.0</v>
      </c>
      <c r="E137" s="82">
        <v>117.0</v>
      </c>
    </row>
    <row r="138">
      <c r="A138" s="82" t="s">
        <v>101</v>
      </c>
      <c r="B138" s="82">
        <v>25073.0</v>
      </c>
      <c r="C138" s="82"/>
      <c r="D138" s="102">
        <v>84.0</v>
      </c>
      <c r="E138" s="82">
        <v>89.0</v>
      </c>
    </row>
    <row r="139">
      <c r="A139" s="82" t="s">
        <v>99</v>
      </c>
      <c r="B139" s="101" t="s">
        <v>100</v>
      </c>
      <c r="C139" s="82">
        <v>109.0</v>
      </c>
      <c r="D139" s="102">
        <v>81.0</v>
      </c>
      <c r="E139" s="82">
        <v>64.0</v>
      </c>
    </row>
    <row r="140">
      <c r="A140" s="82" t="s">
        <v>123</v>
      </c>
      <c r="B140" s="82" t="s">
        <v>123</v>
      </c>
      <c r="C140" s="82">
        <v>16.0</v>
      </c>
      <c r="D140" s="102">
        <v>52.0</v>
      </c>
      <c r="E140" s="82">
        <v>36.0</v>
      </c>
    </row>
    <row r="141">
      <c r="A141" s="82" t="s">
        <v>102</v>
      </c>
      <c r="B141" s="82" t="s">
        <v>103</v>
      </c>
      <c r="C141" s="82">
        <v>48.0</v>
      </c>
      <c r="D141" s="102">
        <v>42.0</v>
      </c>
      <c r="E141" s="82">
        <v>54.0</v>
      </c>
    </row>
    <row r="142">
      <c r="A142" s="82" t="s">
        <v>109</v>
      </c>
      <c r="B142" s="82" t="s">
        <v>110</v>
      </c>
      <c r="C142" s="82">
        <v>53.0</v>
      </c>
      <c r="D142" s="102">
        <v>39.0</v>
      </c>
      <c r="E142" s="82">
        <v>79.0</v>
      </c>
    </row>
    <row r="143">
      <c r="A143" s="82" t="s">
        <v>104</v>
      </c>
      <c r="B143" s="82" t="s">
        <v>105</v>
      </c>
      <c r="C143" s="82"/>
      <c r="D143" s="102">
        <v>30.0</v>
      </c>
      <c r="E143" s="82">
        <v>41.0</v>
      </c>
    </row>
    <row r="144">
      <c r="A144" s="82" t="s">
        <v>111</v>
      </c>
      <c r="B144" s="82">
        <v>74910.0</v>
      </c>
      <c r="C144" s="82">
        <v>28.0</v>
      </c>
      <c r="D144" s="102">
        <v>29.0</v>
      </c>
      <c r="E144" s="82">
        <v>7.0</v>
      </c>
    </row>
    <row r="145">
      <c r="A145" s="82" t="s">
        <v>106</v>
      </c>
      <c r="B145" s="82">
        <v>24041.0</v>
      </c>
      <c r="C145" s="82">
        <v>21.0</v>
      </c>
      <c r="D145" s="102">
        <v>17.0</v>
      </c>
      <c r="E145" s="82">
        <v>9.0</v>
      </c>
    </row>
    <row r="146">
      <c r="A146" s="82" t="s">
        <v>124</v>
      </c>
      <c r="B146" s="82">
        <v>2525.0</v>
      </c>
      <c r="C146" s="82">
        <v>21.0</v>
      </c>
      <c r="D146" s="102">
        <v>17.0</v>
      </c>
      <c r="E146" s="82">
        <v>36.0</v>
      </c>
    </row>
    <row r="147">
      <c r="A147" s="82" t="s">
        <v>117</v>
      </c>
      <c r="B147" s="82" t="s">
        <v>118</v>
      </c>
      <c r="C147" s="82">
        <v>15.0</v>
      </c>
      <c r="D147" s="102">
        <v>16.0</v>
      </c>
      <c r="E147" s="82">
        <v>17.0</v>
      </c>
    </row>
    <row r="148">
      <c r="A148" s="82" t="s">
        <v>107</v>
      </c>
      <c r="B148" s="82" t="s">
        <v>108</v>
      </c>
      <c r="C148" s="82">
        <v>18.0</v>
      </c>
      <c r="D148" s="102">
        <v>16.0</v>
      </c>
      <c r="E148" s="82">
        <v>14.0</v>
      </c>
    </row>
    <row r="149">
      <c r="A149" s="82" t="s">
        <v>114</v>
      </c>
      <c r="B149" s="82" t="s">
        <v>115</v>
      </c>
      <c r="C149" s="82">
        <v>32.0</v>
      </c>
      <c r="D149" s="102">
        <v>12.0</v>
      </c>
      <c r="E149" s="82">
        <v>0.0</v>
      </c>
    </row>
    <row r="150">
      <c r="A150" s="82" t="s">
        <v>97</v>
      </c>
      <c r="B150" s="82">
        <v>234.0</v>
      </c>
      <c r="C150" s="82">
        <v>6.0</v>
      </c>
      <c r="D150" s="102">
        <v>8.0</v>
      </c>
      <c r="E150" s="82">
        <v>10.0</v>
      </c>
    </row>
    <row r="151">
      <c r="A151" s="82" t="s">
        <v>116</v>
      </c>
      <c r="B151" s="82">
        <v>24048.0</v>
      </c>
      <c r="C151" s="82"/>
      <c r="D151" s="102">
        <v>7.0</v>
      </c>
      <c r="E151" s="82">
        <v>0.0</v>
      </c>
    </row>
    <row r="152">
      <c r="A152" s="104"/>
      <c r="B152" s="104"/>
      <c r="C152" s="104"/>
      <c r="E152" s="104"/>
    </row>
    <row r="157">
      <c r="A157" s="105" t="s">
        <v>125</v>
      </c>
      <c r="B157" s="105" t="s">
        <v>126</v>
      </c>
      <c r="C157" s="106" t="s">
        <v>129</v>
      </c>
      <c r="D157" s="107" t="s">
        <v>130</v>
      </c>
      <c r="E157" s="106" t="s">
        <v>303</v>
      </c>
      <c r="F157" s="106" t="s">
        <v>304</v>
      </c>
    </row>
    <row r="158">
      <c r="A158" s="108" t="s">
        <v>131</v>
      </c>
      <c r="B158" s="183" t="s">
        <v>75</v>
      </c>
      <c r="C158" s="106">
        <v>2609.0</v>
      </c>
      <c r="D158" s="110">
        <v>3874659.0</v>
      </c>
      <c r="E158" s="184" t="s">
        <v>305</v>
      </c>
      <c r="F158" s="185" t="s">
        <v>306</v>
      </c>
    </row>
    <row r="159">
      <c r="A159" s="113"/>
      <c r="B159" s="121">
        <v>45925.0</v>
      </c>
      <c r="C159" s="115">
        <v>76.0</v>
      </c>
      <c r="D159" s="116">
        <v>109718.0</v>
      </c>
      <c r="E159" s="117">
        <v>64.0</v>
      </c>
      <c r="F159" s="186" t="s">
        <v>307</v>
      </c>
    </row>
    <row r="160">
      <c r="A160" s="113"/>
      <c r="B160" s="114" t="s">
        <v>152</v>
      </c>
      <c r="C160" s="115">
        <v>98.0</v>
      </c>
      <c r="D160" s="116">
        <v>175943.0</v>
      </c>
      <c r="E160" s="117">
        <v>88.0</v>
      </c>
      <c r="F160" s="186" t="s">
        <v>308</v>
      </c>
    </row>
    <row r="161">
      <c r="A161" s="113"/>
      <c r="B161" s="114" t="s">
        <v>138</v>
      </c>
      <c r="C161" s="115">
        <v>187.0</v>
      </c>
      <c r="D161" s="116">
        <v>243889.0</v>
      </c>
      <c r="E161" s="117">
        <v>149.0</v>
      </c>
      <c r="F161" s="186" t="s">
        <v>309</v>
      </c>
    </row>
    <row r="162">
      <c r="A162" s="113"/>
      <c r="B162" s="114" t="s">
        <v>201</v>
      </c>
      <c r="C162" s="115">
        <v>9.0</v>
      </c>
      <c r="D162" s="116">
        <v>17968.0</v>
      </c>
      <c r="E162" s="117">
        <v>3.0</v>
      </c>
      <c r="F162" s="186" t="s">
        <v>310</v>
      </c>
    </row>
    <row r="163">
      <c r="A163" s="113"/>
      <c r="B163" s="114" t="s">
        <v>179</v>
      </c>
      <c r="C163" s="115">
        <v>19.0</v>
      </c>
      <c r="D163" s="116">
        <v>39956.0</v>
      </c>
      <c r="E163" s="117">
        <v>18.0</v>
      </c>
      <c r="F163" s="186" t="s">
        <v>311</v>
      </c>
    </row>
    <row r="164">
      <c r="A164" s="113"/>
      <c r="B164" s="114" t="s">
        <v>177</v>
      </c>
      <c r="C164" s="115">
        <v>21.0</v>
      </c>
      <c r="D164" s="116">
        <v>29982.0</v>
      </c>
      <c r="E164" s="117">
        <v>20.0</v>
      </c>
      <c r="F164" s="186" t="s">
        <v>312</v>
      </c>
    </row>
    <row r="165">
      <c r="A165" s="113"/>
      <c r="B165" s="114" t="s">
        <v>175</v>
      </c>
      <c r="C165" s="115">
        <v>31.0</v>
      </c>
      <c r="D165" s="116">
        <v>58769.0</v>
      </c>
      <c r="E165" s="117">
        <v>30.0</v>
      </c>
      <c r="F165" s="186" t="s">
        <v>313</v>
      </c>
    </row>
    <row r="166">
      <c r="A166" s="113"/>
      <c r="B166" s="114" t="s">
        <v>163</v>
      </c>
      <c r="C166" s="115">
        <v>61.0</v>
      </c>
      <c r="D166" s="116">
        <v>87234.0</v>
      </c>
      <c r="E166" s="117">
        <v>42.0</v>
      </c>
      <c r="F166" s="186" t="s">
        <v>314</v>
      </c>
    </row>
    <row r="167">
      <c r="A167" s="113"/>
      <c r="B167" s="114" t="s">
        <v>161</v>
      </c>
      <c r="C167" s="115">
        <v>55.0</v>
      </c>
      <c r="D167" s="116">
        <v>84832.0</v>
      </c>
      <c r="E167" s="117">
        <v>51.0</v>
      </c>
      <c r="F167" s="186" t="s">
        <v>315</v>
      </c>
    </row>
    <row r="168">
      <c r="A168" s="113"/>
      <c r="B168" s="114" t="s">
        <v>193</v>
      </c>
      <c r="C168" s="115">
        <v>22.0</v>
      </c>
      <c r="D168" s="116">
        <v>39533.0</v>
      </c>
      <c r="E168" s="117">
        <v>14.0</v>
      </c>
      <c r="F168" s="186" t="s">
        <v>316</v>
      </c>
    </row>
    <row r="169">
      <c r="A169" s="113"/>
      <c r="B169" s="114" t="s">
        <v>189</v>
      </c>
      <c r="C169" s="115">
        <v>7.0</v>
      </c>
      <c r="D169" s="116">
        <v>8362.0</v>
      </c>
      <c r="E169" s="117">
        <v>6.0</v>
      </c>
      <c r="F169" s="186" t="s">
        <v>317</v>
      </c>
    </row>
    <row r="170">
      <c r="A170" s="113"/>
      <c r="B170" s="114" t="s">
        <v>167</v>
      </c>
      <c r="C170" s="115">
        <v>45.0</v>
      </c>
      <c r="D170" s="116">
        <v>56223.0</v>
      </c>
      <c r="E170" s="117">
        <v>56.0</v>
      </c>
      <c r="F170" s="186" t="s">
        <v>318</v>
      </c>
    </row>
    <row r="171">
      <c r="A171" s="113"/>
      <c r="B171" s="114" t="s">
        <v>185</v>
      </c>
      <c r="C171" s="115">
        <v>8.0</v>
      </c>
      <c r="D171" s="116">
        <v>19712.0</v>
      </c>
      <c r="E171" s="117">
        <v>9.0</v>
      </c>
      <c r="F171" s="186" t="s">
        <v>319</v>
      </c>
    </row>
    <row r="172">
      <c r="A172" s="113"/>
      <c r="B172" s="114" t="s">
        <v>136</v>
      </c>
      <c r="C172" s="115">
        <v>223.0</v>
      </c>
      <c r="D172" s="116">
        <v>317626.0</v>
      </c>
      <c r="E172" s="117">
        <v>175.0</v>
      </c>
      <c r="F172" s="186" t="s">
        <v>320</v>
      </c>
    </row>
    <row r="173">
      <c r="A173" s="113"/>
      <c r="B173" s="114" t="s">
        <v>195</v>
      </c>
      <c r="C173" s="115">
        <v>5.0</v>
      </c>
      <c r="D173" s="116">
        <v>12598.0</v>
      </c>
      <c r="E173" s="117">
        <v>2.0</v>
      </c>
      <c r="F173" s="186" t="s">
        <v>321</v>
      </c>
    </row>
    <row r="174">
      <c r="A174" s="113"/>
      <c r="B174" s="114" t="s">
        <v>181</v>
      </c>
      <c r="C174" s="115">
        <v>8.0</v>
      </c>
      <c r="D174" s="116">
        <v>12114.0</v>
      </c>
      <c r="E174" s="117">
        <v>26.0</v>
      </c>
      <c r="F174" s="186" t="s">
        <v>322</v>
      </c>
    </row>
    <row r="175">
      <c r="A175" s="113"/>
      <c r="B175" s="114" t="s">
        <v>144</v>
      </c>
      <c r="C175" s="115">
        <v>144.0</v>
      </c>
      <c r="D175" s="116">
        <v>213541.0</v>
      </c>
      <c r="E175" s="117">
        <v>111.0</v>
      </c>
      <c r="F175" s="186" t="s">
        <v>323</v>
      </c>
    </row>
    <row r="176">
      <c r="A176" s="113"/>
      <c r="B176" s="114" t="s">
        <v>140</v>
      </c>
      <c r="C176" s="115">
        <v>142.0</v>
      </c>
      <c r="D176" s="116">
        <v>192975.0</v>
      </c>
      <c r="E176" s="117">
        <v>135.0</v>
      </c>
      <c r="F176" s="186" t="s">
        <v>324</v>
      </c>
    </row>
    <row r="177">
      <c r="A177" s="113"/>
      <c r="B177" s="114" t="s">
        <v>146</v>
      </c>
      <c r="C177" s="115">
        <v>140.0</v>
      </c>
      <c r="D177" s="116">
        <v>160466.0</v>
      </c>
      <c r="E177" s="119">
        <v>105.0</v>
      </c>
      <c r="F177" s="186" t="s">
        <v>325</v>
      </c>
    </row>
    <row r="178">
      <c r="A178" s="113"/>
      <c r="B178" s="114" t="s">
        <v>199</v>
      </c>
      <c r="C178" s="115">
        <v>5.0</v>
      </c>
      <c r="D178" s="116">
        <v>4729.0</v>
      </c>
      <c r="E178" s="117">
        <v>7.0</v>
      </c>
      <c r="F178" s="186" t="s">
        <v>326</v>
      </c>
    </row>
    <row r="179">
      <c r="A179" s="113"/>
      <c r="B179" s="114" t="s">
        <v>148</v>
      </c>
      <c r="C179" s="115">
        <v>94.0</v>
      </c>
      <c r="D179" s="116">
        <v>128436.0</v>
      </c>
      <c r="E179" s="117">
        <v>111.0</v>
      </c>
      <c r="F179" s="186" t="s">
        <v>327</v>
      </c>
    </row>
    <row r="180">
      <c r="A180" s="113"/>
      <c r="B180" s="114" t="s">
        <v>171</v>
      </c>
      <c r="C180" s="115">
        <v>39.0</v>
      </c>
      <c r="D180" s="116">
        <v>62002.0</v>
      </c>
      <c r="E180" s="117">
        <v>31.0</v>
      </c>
      <c r="F180" s="186" t="s">
        <v>328</v>
      </c>
    </row>
    <row r="181">
      <c r="A181" s="113"/>
      <c r="B181" s="114" t="s">
        <v>183</v>
      </c>
      <c r="C181" s="115">
        <v>21.0</v>
      </c>
      <c r="D181" s="116">
        <v>47517.0</v>
      </c>
      <c r="E181" s="117">
        <v>13.0</v>
      </c>
      <c r="F181" s="186" t="s">
        <v>329</v>
      </c>
    </row>
    <row r="182">
      <c r="A182" s="113"/>
      <c r="B182" s="114" t="s">
        <v>191</v>
      </c>
      <c r="C182" s="115">
        <v>13.0</v>
      </c>
      <c r="D182" s="116">
        <v>25080.0</v>
      </c>
      <c r="E182" s="117">
        <v>9.0</v>
      </c>
      <c r="F182" s="186" t="s">
        <v>330</v>
      </c>
    </row>
    <row r="183">
      <c r="A183" s="113"/>
      <c r="B183" s="114" t="s">
        <v>165</v>
      </c>
      <c r="C183" s="115">
        <v>49.0</v>
      </c>
      <c r="D183" s="116">
        <v>58024.0</v>
      </c>
      <c r="E183" s="117">
        <v>45.0</v>
      </c>
      <c r="F183" s="186" t="s">
        <v>331</v>
      </c>
    </row>
    <row r="184">
      <c r="A184" s="113"/>
      <c r="B184" s="114" t="s">
        <v>154</v>
      </c>
      <c r="C184" s="115">
        <v>88.0</v>
      </c>
      <c r="D184" s="116">
        <v>123492.0</v>
      </c>
      <c r="E184" s="117">
        <v>59.0</v>
      </c>
      <c r="F184" s="186" t="s">
        <v>332</v>
      </c>
    </row>
    <row r="185">
      <c r="A185" s="113"/>
      <c r="B185" s="114" t="s">
        <v>15</v>
      </c>
      <c r="C185" s="115">
        <v>401.0</v>
      </c>
      <c r="D185" s="116">
        <v>551903.0</v>
      </c>
      <c r="E185" s="117">
        <v>338.0</v>
      </c>
      <c r="F185" s="186" t="s">
        <v>333</v>
      </c>
    </row>
    <row r="186">
      <c r="A186" s="113"/>
      <c r="B186" s="114" t="s">
        <v>134</v>
      </c>
      <c r="C186" s="115">
        <v>182.0</v>
      </c>
      <c r="D186" s="116">
        <v>264872.0</v>
      </c>
      <c r="E186" s="117">
        <v>189.0</v>
      </c>
      <c r="F186" s="186" t="s">
        <v>334</v>
      </c>
    </row>
    <row r="187">
      <c r="A187" s="113"/>
      <c r="B187" s="114" t="s">
        <v>142</v>
      </c>
      <c r="C187" s="115">
        <v>106.0</v>
      </c>
      <c r="D187" s="116">
        <v>168888.0</v>
      </c>
      <c r="E187" s="117">
        <v>90.0</v>
      </c>
      <c r="F187" s="186" t="s">
        <v>335</v>
      </c>
    </row>
    <row r="188">
      <c r="A188" s="113"/>
      <c r="B188" s="114" t="s">
        <v>156</v>
      </c>
      <c r="C188" s="115">
        <v>102.0</v>
      </c>
      <c r="D188" s="118">
        <v>150242.0</v>
      </c>
      <c r="E188" s="117">
        <v>67.0</v>
      </c>
      <c r="F188" s="186" t="s">
        <v>336</v>
      </c>
    </row>
    <row r="189">
      <c r="A189" s="113"/>
      <c r="B189" s="114" t="s">
        <v>187</v>
      </c>
      <c r="C189" s="115">
        <v>10.0</v>
      </c>
      <c r="D189" s="118">
        <v>19113.0</v>
      </c>
      <c r="E189" s="117">
        <v>9.0</v>
      </c>
      <c r="F189" s="186" t="s">
        <v>337</v>
      </c>
    </row>
    <row r="190">
      <c r="A190" s="113"/>
      <c r="B190" s="114" t="s">
        <v>203</v>
      </c>
      <c r="C190" s="115">
        <v>5.0</v>
      </c>
      <c r="D190" s="118">
        <v>27829.0</v>
      </c>
      <c r="E190" s="117">
        <v>4.0</v>
      </c>
      <c r="F190" s="186" t="s">
        <v>338</v>
      </c>
    </row>
    <row r="191">
      <c r="A191" s="113"/>
      <c r="B191" s="114" t="s">
        <v>197</v>
      </c>
      <c r="C191" s="115">
        <v>8.0</v>
      </c>
      <c r="D191" s="118">
        <v>1382.0</v>
      </c>
      <c r="E191" s="117">
        <v>6.0</v>
      </c>
      <c r="F191" s="186" t="s">
        <v>339</v>
      </c>
    </row>
    <row r="192">
      <c r="A192" s="113"/>
      <c r="B192" s="114" t="s">
        <v>205</v>
      </c>
      <c r="C192" s="115">
        <v>1.0</v>
      </c>
      <c r="D192" s="116">
        <v>1382.0</v>
      </c>
      <c r="E192" s="117">
        <v>3.0</v>
      </c>
      <c r="F192" s="186" t="s">
        <v>340</v>
      </c>
    </row>
    <row r="193">
      <c r="A193" s="113"/>
      <c r="B193" s="114" t="s">
        <v>173</v>
      </c>
      <c r="C193" s="115">
        <v>22.0</v>
      </c>
      <c r="D193" s="116">
        <v>31694.0</v>
      </c>
      <c r="E193" s="117">
        <v>11.0</v>
      </c>
      <c r="F193" s="186" t="s">
        <v>341</v>
      </c>
    </row>
    <row r="194">
      <c r="A194" s="113"/>
      <c r="B194" s="114" t="s">
        <v>159</v>
      </c>
      <c r="C194" s="115">
        <v>59.0</v>
      </c>
      <c r="D194" s="116">
        <v>88236.0</v>
      </c>
      <c r="E194" s="117">
        <v>57.0</v>
      </c>
      <c r="F194" s="186" t="s">
        <v>342</v>
      </c>
    </row>
    <row r="195">
      <c r="A195" s="113"/>
      <c r="B195" s="114" t="s">
        <v>150</v>
      </c>
      <c r="C195" s="115">
        <v>81.0</v>
      </c>
      <c r="D195" s="116">
        <v>115285.0</v>
      </c>
      <c r="E195" s="117">
        <v>78.0</v>
      </c>
      <c r="F195" s="186" t="s">
        <v>343</v>
      </c>
    </row>
    <row r="196">
      <c r="A196" s="122"/>
      <c r="B196" s="123" t="s">
        <v>169</v>
      </c>
      <c r="C196" s="124">
        <v>54.0</v>
      </c>
      <c r="D196" s="125">
        <v>89902.0</v>
      </c>
      <c r="E196" s="117">
        <v>46.0</v>
      </c>
      <c r="F196" s="187" t="s">
        <v>344</v>
      </c>
    </row>
    <row r="197">
      <c r="A197" s="127"/>
      <c r="B197" s="128"/>
      <c r="C197" s="129"/>
      <c r="D197" s="129"/>
      <c r="E197" s="188"/>
      <c r="F197" s="129"/>
    </row>
    <row r="198">
      <c r="A198" s="132" t="s">
        <v>125</v>
      </c>
      <c r="B198" s="105" t="s">
        <v>126</v>
      </c>
      <c r="C198" s="106" t="s">
        <v>129</v>
      </c>
      <c r="D198" s="106" t="s">
        <v>130</v>
      </c>
      <c r="E198" s="106" t="s">
        <v>303</v>
      </c>
      <c r="F198" s="106" t="s">
        <v>130</v>
      </c>
    </row>
    <row r="199">
      <c r="A199" s="134" t="s">
        <v>206</v>
      </c>
      <c r="B199" s="135"/>
      <c r="C199" s="136">
        <v>3501.0</v>
      </c>
      <c r="D199" s="137">
        <v>5335797.0</v>
      </c>
      <c r="E199" s="136">
        <v>3254.0</v>
      </c>
      <c r="F199" s="189" t="s">
        <v>345</v>
      </c>
    </row>
    <row r="200">
      <c r="A200" s="140"/>
      <c r="B200" s="141" t="s">
        <v>232</v>
      </c>
      <c r="C200" s="136">
        <v>32.0</v>
      </c>
      <c r="D200" s="137">
        <v>46768.0</v>
      </c>
      <c r="E200" s="190">
        <v>31.0</v>
      </c>
      <c r="F200" s="189" t="s">
        <v>346</v>
      </c>
    </row>
    <row r="201">
      <c r="A201" s="140"/>
      <c r="B201" s="141" t="s">
        <v>247</v>
      </c>
      <c r="C201" s="136">
        <v>8.0</v>
      </c>
      <c r="D201" s="137">
        <v>20483.0</v>
      </c>
      <c r="E201" s="190">
        <v>6.0</v>
      </c>
      <c r="F201" s="189" t="s">
        <v>347</v>
      </c>
    </row>
    <row r="202">
      <c r="A202" s="140"/>
      <c r="B202" s="141" t="s">
        <v>222</v>
      </c>
      <c r="C202" s="136">
        <v>38.0</v>
      </c>
      <c r="D202" s="137">
        <v>59299.0</v>
      </c>
      <c r="E202" s="190">
        <v>40.0</v>
      </c>
      <c r="F202" s="189" t="s">
        <v>348</v>
      </c>
    </row>
    <row r="203">
      <c r="A203" s="140"/>
      <c r="B203" s="141" t="s">
        <v>242</v>
      </c>
      <c r="C203" s="136">
        <v>8.0</v>
      </c>
      <c r="D203" s="137">
        <v>21016.0</v>
      </c>
      <c r="E203" s="190">
        <v>6.0</v>
      </c>
      <c r="F203" s="189" t="s">
        <v>349</v>
      </c>
    </row>
    <row r="204">
      <c r="A204" s="140"/>
      <c r="B204" s="141" t="s">
        <v>252</v>
      </c>
      <c r="C204" s="136">
        <v>2.0</v>
      </c>
      <c r="D204" s="137">
        <v>3090.0</v>
      </c>
      <c r="E204" s="190">
        <v>1.0</v>
      </c>
      <c r="F204" s="189" t="s">
        <v>350</v>
      </c>
    </row>
    <row r="205">
      <c r="A205" s="140"/>
      <c r="B205" s="141" t="s">
        <v>207</v>
      </c>
      <c r="C205" s="136">
        <v>451.0</v>
      </c>
      <c r="D205" s="137">
        <v>631047.0</v>
      </c>
      <c r="E205" s="190">
        <v>433.0</v>
      </c>
      <c r="F205" s="189" t="s">
        <v>351</v>
      </c>
    </row>
    <row r="206">
      <c r="A206" s="140"/>
      <c r="B206" s="141" t="s">
        <v>248</v>
      </c>
      <c r="C206" s="136">
        <v>2.0</v>
      </c>
      <c r="D206" s="137">
        <v>2168.0</v>
      </c>
      <c r="E206" s="191">
        <v>3.0</v>
      </c>
      <c r="F206" s="189" t="s">
        <v>352</v>
      </c>
    </row>
    <row r="207">
      <c r="A207" s="140"/>
      <c r="B207" s="141" t="s">
        <v>219</v>
      </c>
      <c r="C207" s="136">
        <v>139.0</v>
      </c>
      <c r="D207" s="137">
        <v>234601.0</v>
      </c>
      <c r="E207" s="190">
        <v>117.0</v>
      </c>
      <c r="F207" s="189" t="s">
        <v>353</v>
      </c>
    </row>
    <row r="208">
      <c r="A208" s="140"/>
      <c r="B208" s="141" t="s">
        <v>227</v>
      </c>
      <c r="C208" s="136">
        <v>34.0</v>
      </c>
      <c r="D208" s="137">
        <v>56877.0</v>
      </c>
      <c r="E208" s="190">
        <v>33.0</v>
      </c>
      <c r="F208" s="189" t="s">
        <v>354</v>
      </c>
    </row>
    <row r="209">
      <c r="A209" s="140"/>
      <c r="B209" s="141" t="s">
        <v>235</v>
      </c>
      <c r="C209" s="136">
        <v>20.0</v>
      </c>
      <c r="D209" s="137">
        <v>27998.0</v>
      </c>
      <c r="E209" s="190">
        <v>27.0</v>
      </c>
      <c r="F209" s="189" t="s">
        <v>355</v>
      </c>
    </row>
    <row r="210">
      <c r="A210" s="140"/>
      <c r="B210" s="141" t="s">
        <v>217</v>
      </c>
      <c r="C210" s="136">
        <v>152.0</v>
      </c>
      <c r="D210" s="137">
        <v>236529.0</v>
      </c>
      <c r="E210" s="190">
        <v>130.0</v>
      </c>
      <c r="F210" s="189" t="s">
        <v>356</v>
      </c>
    </row>
    <row r="211">
      <c r="A211" s="140"/>
      <c r="B211" s="141" t="s">
        <v>236</v>
      </c>
      <c r="C211" s="136">
        <v>9.0</v>
      </c>
      <c r="D211" s="137">
        <v>16062.0</v>
      </c>
      <c r="E211" s="190">
        <v>11.0</v>
      </c>
      <c r="F211" s="189" t="s">
        <v>357</v>
      </c>
    </row>
    <row r="212">
      <c r="A212" s="140"/>
      <c r="B212" s="141" t="s">
        <v>244</v>
      </c>
      <c r="C212" s="136">
        <v>15.0</v>
      </c>
      <c r="D212" s="137">
        <v>19341.0</v>
      </c>
      <c r="E212" s="190">
        <v>18.0</v>
      </c>
      <c r="F212" s="189" t="s">
        <v>358</v>
      </c>
    </row>
    <row r="213">
      <c r="A213" s="140"/>
      <c r="B213" s="141" t="s">
        <v>245</v>
      </c>
      <c r="C213" s="136">
        <v>16.0</v>
      </c>
      <c r="D213" s="137">
        <v>28963.0</v>
      </c>
      <c r="E213" s="190">
        <v>13.0</v>
      </c>
      <c r="F213" s="189" t="s">
        <v>359</v>
      </c>
    </row>
    <row r="214">
      <c r="A214" s="140"/>
      <c r="B214" s="141" t="s">
        <v>256</v>
      </c>
      <c r="C214" s="136">
        <v>2.0</v>
      </c>
      <c r="D214" s="137">
        <v>3201.0</v>
      </c>
      <c r="E214" s="190">
        <v>4.0</v>
      </c>
      <c r="F214" s="189" t="s">
        <v>360</v>
      </c>
    </row>
    <row r="215">
      <c r="A215" s="140"/>
      <c r="B215" s="141" t="s">
        <v>238</v>
      </c>
      <c r="C215" s="136">
        <v>21.0</v>
      </c>
      <c r="D215" s="137">
        <v>30776.0</v>
      </c>
      <c r="E215" s="190">
        <v>16.0</v>
      </c>
      <c r="F215" s="189" t="s">
        <v>361</v>
      </c>
    </row>
    <row r="216">
      <c r="A216" s="140"/>
      <c r="B216" s="141" t="s">
        <v>214</v>
      </c>
      <c r="C216" s="136">
        <v>199.0</v>
      </c>
      <c r="D216" s="137">
        <v>313309.0</v>
      </c>
      <c r="E216" s="190">
        <v>183.0</v>
      </c>
      <c r="F216" s="189" t="s">
        <v>362</v>
      </c>
    </row>
    <row r="217">
      <c r="A217" s="140"/>
      <c r="B217" s="141" t="s">
        <v>233</v>
      </c>
      <c r="C217" s="136">
        <v>44.0</v>
      </c>
      <c r="D217" s="137">
        <v>81013.0</v>
      </c>
      <c r="E217" s="190">
        <v>36.0</v>
      </c>
      <c r="F217" s="189" t="s">
        <v>363</v>
      </c>
    </row>
    <row r="218">
      <c r="A218" s="140"/>
      <c r="B218" s="141" t="s">
        <v>215</v>
      </c>
      <c r="C218" s="136">
        <v>137.0</v>
      </c>
      <c r="D218" s="137">
        <v>199382.0</v>
      </c>
      <c r="E218" s="190">
        <v>142.0</v>
      </c>
      <c r="F218" s="189" t="s">
        <v>364</v>
      </c>
    </row>
    <row r="219">
      <c r="A219" s="140"/>
      <c r="B219" s="141" t="s">
        <v>212</v>
      </c>
      <c r="C219" s="136">
        <v>210.0</v>
      </c>
      <c r="D219" s="137">
        <v>309572.0</v>
      </c>
      <c r="E219" s="190">
        <v>231.0</v>
      </c>
      <c r="F219" s="189" t="s">
        <v>365</v>
      </c>
    </row>
    <row r="220">
      <c r="A220" s="140"/>
      <c r="B220" s="141" t="s">
        <v>210</v>
      </c>
      <c r="C220" s="136">
        <v>276.0</v>
      </c>
      <c r="D220" s="137">
        <v>401363.0</v>
      </c>
      <c r="E220" s="190">
        <v>255.0</v>
      </c>
      <c r="F220" s="189" t="s">
        <v>366</v>
      </c>
    </row>
    <row r="221">
      <c r="A221" s="140"/>
      <c r="B221" s="141" t="s">
        <v>246</v>
      </c>
      <c r="C221" s="136">
        <v>5.0</v>
      </c>
      <c r="D221" s="137">
        <v>8953.0</v>
      </c>
      <c r="E221" s="190">
        <v>4.0</v>
      </c>
      <c r="F221" s="189" t="s">
        <v>367</v>
      </c>
    </row>
    <row r="222">
      <c r="A222" s="140"/>
      <c r="B222" s="141" t="s">
        <v>225</v>
      </c>
      <c r="C222" s="136">
        <v>43.0</v>
      </c>
      <c r="D222" s="137">
        <v>71253.0</v>
      </c>
      <c r="E222" s="190">
        <v>49.0</v>
      </c>
      <c r="F222" s="189" t="s">
        <v>368</v>
      </c>
    </row>
    <row r="223">
      <c r="A223" s="140"/>
      <c r="B223" s="141" t="s">
        <v>230</v>
      </c>
      <c r="C223" s="136">
        <v>27.0</v>
      </c>
      <c r="D223" s="137">
        <v>55680.0</v>
      </c>
      <c r="E223" s="190">
        <v>44.0</v>
      </c>
      <c r="F223" s="189" t="s">
        <v>369</v>
      </c>
    </row>
    <row r="224">
      <c r="A224" s="140"/>
      <c r="B224" s="141" t="s">
        <v>241</v>
      </c>
      <c r="C224" s="136">
        <v>5.0</v>
      </c>
      <c r="D224" s="137">
        <v>9959.0</v>
      </c>
      <c r="E224" s="190">
        <v>4.0</v>
      </c>
      <c r="F224" s="189" t="s">
        <v>370</v>
      </c>
    </row>
    <row r="225">
      <c r="A225" s="140"/>
      <c r="B225" s="141" t="s">
        <v>251</v>
      </c>
      <c r="C225" s="136">
        <v>3.0</v>
      </c>
      <c r="D225" s="137">
        <v>5085.0</v>
      </c>
      <c r="E225" s="191">
        <v>2.0</v>
      </c>
      <c r="F225" s="189" t="s">
        <v>371</v>
      </c>
    </row>
    <row r="226">
      <c r="A226" s="140"/>
      <c r="B226" s="141" t="s">
        <v>213</v>
      </c>
      <c r="C226" s="136">
        <v>172.0</v>
      </c>
      <c r="D226" s="137">
        <v>246578.0</v>
      </c>
      <c r="E226" s="190">
        <v>152.0</v>
      </c>
      <c r="F226" s="189" t="s">
        <v>372</v>
      </c>
    </row>
    <row r="227">
      <c r="A227" s="140"/>
      <c r="B227" s="141" t="s">
        <v>239</v>
      </c>
      <c r="C227" s="136">
        <v>22.0</v>
      </c>
      <c r="D227" s="137">
        <v>40942.0</v>
      </c>
      <c r="E227" s="190">
        <v>22.0</v>
      </c>
      <c r="F227" s="189" t="s">
        <v>373</v>
      </c>
    </row>
    <row r="228">
      <c r="A228" s="140"/>
      <c r="B228" s="141" t="s">
        <v>234</v>
      </c>
      <c r="C228" s="136">
        <v>28.0</v>
      </c>
      <c r="D228" s="137">
        <v>44468.0</v>
      </c>
      <c r="E228" s="190">
        <v>30.0</v>
      </c>
      <c r="F228" s="189" t="s">
        <v>374</v>
      </c>
    </row>
    <row r="229">
      <c r="A229" s="140"/>
      <c r="B229" s="141" t="s">
        <v>218</v>
      </c>
      <c r="C229" s="136">
        <v>126.0</v>
      </c>
      <c r="D229" s="137">
        <v>180459.0</v>
      </c>
      <c r="E229" s="190">
        <v>116.0</v>
      </c>
      <c r="F229" s="189" t="s">
        <v>375</v>
      </c>
    </row>
    <row r="230">
      <c r="A230" s="140"/>
      <c r="B230" s="141" t="s">
        <v>209</v>
      </c>
      <c r="C230" s="136">
        <v>327.0</v>
      </c>
      <c r="D230" s="137">
        <v>490653.0</v>
      </c>
      <c r="E230" s="190">
        <v>256.0</v>
      </c>
      <c r="F230" s="189" t="s">
        <v>376</v>
      </c>
    </row>
    <row r="231">
      <c r="A231" s="140"/>
      <c r="B231" s="141" t="s">
        <v>208</v>
      </c>
      <c r="C231" s="136">
        <v>305.0</v>
      </c>
      <c r="D231" s="137">
        <v>451635.0</v>
      </c>
      <c r="E231" s="190">
        <v>310.0</v>
      </c>
      <c r="F231" s="189" t="s">
        <v>377</v>
      </c>
    </row>
    <row r="232">
      <c r="A232" s="140"/>
      <c r="B232" s="141" t="s">
        <v>221</v>
      </c>
      <c r="C232" s="136">
        <v>68.0</v>
      </c>
      <c r="D232" s="137">
        <v>110147.0</v>
      </c>
      <c r="E232" s="190">
        <v>64.0</v>
      </c>
      <c r="F232" s="189" t="s">
        <v>378</v>
      </c>
    </row>
    <row r="233">
      <c r="A233" s="140"/>
      <c r="B233" s="141" t="s">
        <v>224</v>
      </c>
      <c r="C233" s="136">
        <v>46.0</v>
      </c>
      <c r="D233" s="137">
        <v>84144.0</v>
      </c>
      <c r="E233" s="190">
        <v>51.0</v>
      </c>
      <c r="F233" s="189" t="s">
        <v>379</v>
      </c>
    </row>
    <row r="234">
      <c r="A234" s="140"/>
      <c r="B234" s="141" t="s">
        <v>223</v>
      </c>
      <c r="C234" s="136">
        <v>40.0</v>
      </c>
      <c r="D234" s="137">
        <v>66659.0</v>
      </c>
      <c r="E234" s="190">
        <v>32.0</v>
      </c>
      <c r="F234" s="189" t="s">
        <v>380</v>
      </c>
    </row>
    <row r="235">
      <c r="A235" s="140"/>
      <c r="B235" s="141" t="s">
        <v>231</v>
      </c>
      <c r="C235" s="136">
        <v>28.0</v>
      </c>
      <c r="D235" s="137">
        <v>43368.0</v>
      </c>
      <c r="E235" s="190">
        <v>26.0</v>
      </c>
      <c r="F235" s="189" t="s">
        <v>381</v>
      </c>
    </row>
    <row r="236">
      <c r="A236" s="140"/>
      <c r="B236" s="143" t="s">
        <v>253</v>
      </c>
      <c r="C236" s="136">
        <v>6.0</v>
      </c>
      <c r="D236" s="137">
        <v>7328.0</v>
      </c>
      <c r="E236" s="190">
        <v>5.0</v>
      </c>
      <c r="F236" s="189" t="s">
        <v>382</v>
      </c>
    </row>
    <row r="237">
      <c r="A237" s="140"/>
      <c r="B237" s="141" t="s">
        <v>254</v>
      </c>
      <c r="C237" s="136">
        <v>1.0</v>
      </c>
      <c r="D237" s="137">
        <v>4749.0</v>
      </c>
      <c r="E237" s="190">
        <v>1.0</v>
      </c>
      <c r="F237" s="189" t="s">
        <v>383</v>
      </c>
    </row>
    <row r="238">
      <c r="A238" s="140"/>
      <c r="B238" s="141" t="s">
        <v>255</v>
      </c>
      <c r="C238" s="136">
        <v>5.0</v>
      </c>
      <c r="D238" s="137">
        <v>15175.0</v>
      </c>
      <c r="E238" s="190">
        <v>3.0</v>
      </c>
      <c r="F238" s="189" t="s">
        <v>384</v>
      </c>
    </row>
    <row r="239">
      <c r="A239" s="140"/>
      <c r="B239" s="141" t="s">
        <v>243</v>
      </c>
      <c r="C239" s="136">
        <v>21.0</v>
      </c>
      <c r="D239" s="137">
        <v>29809.0</v>
      </c>
      <c r="E239" s="190">
        <v>18.0</v>
      </c>
      <c r="F239" s="189" t="s">
        <v>385</v>
      </c>
    </row>
    <row r="240">
      <c r="A240" s="140"/>
      <c r="B240" s="141" t="s">
        <v>228</v>
      </c>
      <c r="C240" s="136">
        <v>36.0</v>
      </c>
      <c r="D240" s="137">
        <v>78048.0</v>
      </c>
      <c r="E240" s="190">
        <v>31.0</v>
      </c>
      <c r="F240" s="189" t="s">
        <v>386</v>
      </c>
    </row>
    <row r="241">
      <c r="A241" s="140"/>
      <c r="B241" s="141" t="s">
        <v>220</v>
      </c>
      <c r="C241" s="136">
        <v>71.0</v>
      </c>
      <c r="D241" s="137">
        <v>118095.0</v>
      </c>
      <c r="E241" s="190">
        <v>59.0</v>
      </c>
      <c r="F241" s="189" t="s">
        <v>387</v>
      </c>
    </row>
    <row r="242">
      <c r="A242" s="140"/>
      <c r="B242" s="141" t="s">
        <v>226</v>
      </c>
      <c r="C242" s="136">
        <v>57.0</v>
      </c>
      <c r="D242" s="137">
        <v>78815.0</v>
      </c>
      <c r="E242" s="190">
        <v>32.0</v>
      </c>
      <c r="F242" s="189" t="s">
        <v>388</v>
      </c>
    </row>
    <row r="243">
      <c r="A243" s="140"/>
      <c r="B243" s="141" t="s">
        <v>216</v>
      </c>
      <c r="C243" s="136">
        <v>168.0</v>
      </c>
      <c r="D243" s="137">
        <v>238788.0</v>
      </c>
      <c r="E243" s="190">
        <v>152.0</v>
      </c>
      <c r="F243" s="189" t="s">
        <v>389</v>
      </c>
    </row>
    <row r="244">
      <c r="A244" s="140"/>
      <c r="B244" s="141" t="s">
        <v>229</v>
      </c>
      <c r="C244" s="136">
        <v>41.0</v>
      </c>
      <c r="D244" s="137">
        <v>60120.0</v>
      </c>
      <c r="E244" s="190">
        <v>23.0</v>
      </c>
      <c r="F244" s="189" t="s">
        <v>390</v>
      </c>
    </row>
    <row r="245">
      <c r="A245" s="140"/>
      <c r="B245" s="141" t="s">
        <v>250</v>
      </c>
      <c r="C245" s="190"/>
      <c r="D245" s="189"/>
      <c r="E245" s="190">
        <v>2.0</v>
      </c>
      <c r="F245" s="189" t="s">
        <v>391</v>
      </c>
    </row>
    <row r="246">
      <c r="A246" s="140"/>
      <c r="B246" s="143" t="s">
        <v>240</v>
      </c>
      <c r="C246" s="136">
        <v>19.0</v>
      </c>
      <c r="D246" s="137">
        <v>27744.0</v>
      </c>
      <c r="E246" s="190">
        <v>19.0</v>
      </c>
      <c r="F246" s="189" t="s">
        <v>392</v>
      </c>
    </row>
    <row r="247">
      <c r="A247" s="140"/>
      <c r="B247" s="141" t="s">
        <v>237</v>
      </c>
      <c r="C247" s="136">
        <v>10.0</v>
      </c>
      <c r="D247" s="137">
        <v>15378.0</v>
      </c>
      <c r="E247" s="190">
        <v>11.0</v>
      </c>
      <c r="F247" s="189" t="s">
        <v>393</v>
      </c>
    </row>
  </sheetData>
  <mergeCells count="13">
    <mergeCell ref="E63:G66"/>
    <mergeCell ref="F67:N108"/>
    <mergeCell ref="A112:D112"/>
    <mergeCell ref="B121:G121"/>
    <mergeCell ref="A158:A196"/>
    <mergeCell ref="A199:A247"/>
    <mergeCell ref="A2:G3"/>
    <mergeCell ref="A8:G9"/>
    <mergeCell ref="C14:E14"/>
    <mergeCell ref="F14:G14"/>
    <mergeCell ref="H14:I14"/>
    <mergeCell ref="A57:G58"/>
    <mergeCell ref="A67:D67"/>
  </mergeCells>
  <conditionalFormatting sqref="F11:G12 F60:G61 F5:G6">
    <cfRule type="cellIs" dxfId="0" priority="1" operator="greaterThanOrEqual">
      <formula>"100%"</formula>
    </cfRule>
  </conditionalFormatting>
  <conditionalFormatting sqref="F60:G61 F11:G12 F5:G6">
    <cfRule type="cellIs" dxfId="1" priority="2" operator="lessThanOrEqual">
      <formula>"99%"</formula>
    </cfRule>
  </conditionalFormatting>
  <conditionalFormatting sqref="B107:D107 B54:D54">
    <cfRule type="cellIs" dxfId="0" priority="3" operator="greaterThanOrEqual">
      <formula>"100%"</formula>
    </cfRule>
  </conditionalFormatting>
  <conditionalFormatting sqref="B107:D107 B54:D54">
    <cfRule type="cellIs" dxfId="1" priority="4" operator="lessThanOrEqual">
      <formula>"99%"</formula>
    </cfRule>
  </conditionalFormatting>
  <conditionalFormatting sqref="B54:D54">
    <cfRule type="notContainsBlanks" dxfId="3" priority="5">
      <formula>LEN(TRIM(B54))&gt;0</formula>
    </cfRule>
  </conditionalFormatting>
  <conditionalFormatting sqref="C199:C247">
    <cfRule type="cellIs" dxfId="2" priority="6" operator="greaterThan">
      <formula>$E199</formula>
    </cfRule>
  </conditionalFormatting>
  <conditionalFormatting sqref="C199:C247">
    <cfRule type="cellIs" dxfId="1" priority="7" operator="lessThan">
      <formula>$E199</formula>
    </cfRule>
  </conditionalFormatting>
  <conditionalFormatting sqref="E199:E247">
    <cfRule type="cellIs" dxfId="2" priority="8" operator="greaterThan">
      <formula>$C199</formula>
    </cfRule>
  </conditionalFormatting>
  <conditionalFormatting sqref="E199:E247">
    <cfRule type="cellIs" dxfId="1" priority="9" operator="lessThan">
      <formula>$C199</formula>
    </cfRule>
  </conditionalFormatting>
  <conditionalFormatting sqref="J171">
    <cfRule type="notContainsBlanks" dxfId="3" priority="10">
      <formula>LEN(TRIM(J171))&gt;0</formula>
    </cfRule>
  </conditionalFormatting>
  <conditionalFormatting sqref="E159:E196">
    <cfRule type="cellIs" dxfId="2" priority="11" operator="greaterThan">
      <formula>$C159</formula>
    </cfRule>
  </conditionalFormatting>
  <conditionalFormatting sqref="E159:E196">
    <cfRule type="cellIs" dxfId="1" priority="12" operator="lessThan">
      <formula>$C159</formula>
    </cfRule>
  </conditionalFormatting>
  <conditionalFormatting sqref="C159:C196">
    <cfRule type="cellIs" dxfId="2" priority="13" operator="greaterThan">
      <formula>$E159</formula>
    </cfRule>
  </conditionalFormatting>
  <conditionalFormatting sqref="C159:C196">
    <cfRule type="cellIs" dxfId="4" priority="14" operator="lessThan">
      <formula>$E159</formula>
    </cfRule>
  </conditionalFormatting>
  <conditionalFormatting sqref="C199:C247">
    <cfRule type="notContainsBlanks" dxfId="3" priority="15">
      <formula>LEN(TRIM(C199))&gt;0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3.5"/>
    <col customWidth="1" min="3" max="3" width="21.88"/>
    <col customWidth="1" min="4" max="4" width="27.75"/>
    <col customWidth="1" min="7" max="7" width="36.0"/>
    <col customWidth="1" min="8" max="8" width="20.13"/>
    <col customWidth="1" min="9" max="9" width="17.75"/>
    <col customWidth="1" min="10" max="10" width="26.0"/>
    <col customWidth="1" min="19" max="19" width="21.25"/>
    <col customWidth="1" min="21" max="21" width="20.88"/>
  </cols>
  <sheetData>
    <row r="3">
      <c r="J3" s="145" t="s">
        <v>257</v>
      </c>
    </row>
    <row r="43">
      <c r="O43" s="146" t="s">
        <v>258</v>
      </c>
    </row>
    <row r="49" ht="22.5" customHeight="1"/>
    <row r="66">
      <c r="A66" s="2" t="s">
        <v>259</v>
      </c>
      <c r="B66" s="3"/>
      <c r="C66" s="3"/>
      <c r="D66" s="4"/>
    </row>
    <row r="67">
      <c r="A67" s="6"/>
      <c r="B67" s="7"/>
      <c r="C67" s="7"/>
      <c r="D67" s="8"/>
    </row>
    <row r="68">
      <c r="A68" s="24"/>
      <c r="B68" s="192" t="s">
        <v>75</v>
      </c>
      <c r="C68" s="148" t="s">
        <v>79</v>
      </c>
      <c r="D68" s="10" t="s">
        <v>394</v>
      </c>
    </row>
    <row r="69">
      <c r="A69" s="9" t="s">
        <v>261</v>
      </c>
      <c r="B69" s="192">
        <v>12706.0</v>
      </c>
      <c r="C69" s="148">
        <v>98801.0</v>
      </c>
      <c r="D69" s="15">
        <f t="shared" ref="D69:D76" si="1">C69/B69-100%</f>
        <v>6.77593263</v>
      </c>
    </row>
    <row r="70">
      <c r="A70" s="9" t="s">
        <v>262</v>
      </c>
      <c r="B70" s="192">
        <v>96316.0</v>
      </c>
      <c r="C70" s="148">
        <v>327300.0</v>
      </c>
      <c r="D70" s="15">
        <f t="shared" si="1"/>
        <v>2.398189294</v>
      </c>
    </row>
    <row r="71">
      <c r="A71" s="9" t="s">
        <v>263</v>
      </c>
      <c r="B71" s="192">
        <v>287.0</v>
      </c>
      <c r="C71" s="148">
        <v>1378.0</v>
      </c>
      <c r="D71" s="149">
        <f t="shared" si="1"/>
        <v>3.801393728</v>
      </c>
    </row>
    <row r="72">
      <c r="A72" s="9" t="s">
        <v>264</v>
      </c>
      <c r="B72" s="192">
        <v>7.0</v>
      </c>
      <c r="C72" s="148">
        <v>427.0</v>
      </c>
      <c r="D72" s="15">
        <f t="shared" si="1"/>
        <v>60</v>
      </c>
    </row>
    <row r="73">
      <c r="A73" s="9" t="s">
        <v>265</v>
      </c>
      <c r="B73" s="192">
        <v>110.0</v>
      </c>
      <c r="C73" s="148">
        <v>268.0</v>
      </c>
      <c r="D73" s="15">
        <f t="shared" si="1"/>
        <v>1.436363636</v>
      </c>
    </row>
    <row r="74">
      <c r="A74" s="9" t="s">
        <v>266</v>
      </c>
      <c r="B74" s="192">
        <v>134.0</v>
      </c>
      <c r="C74" s="148">
        <v>63.0</v>
      </c>
      <c r="D74" s="15">
        <f t="shared" si="1"/>
        <v>-0.5298507463</v>
      </c>
    </row>
    <row r="75">
      <c r="A75" s="9" t="s">
        <v>267</v>
      </c>
      <c r="B75" s="192">
        <v>5.0</v>
      </c>
      <c r="C75" s="148">
        <v>12.0</v>
      </c>
      <c r="D75" s="149">
        <f t="shared" si="1"/>
        <v>1.4</v>
      </c>
    </row>
    <row r="76">
      <c r="A76" s="9" t="s">
        <v>268</v>
      </c>
      <c r="B76" s="192">
        <v>10.0</v>
      </c>
      <c r="C76" s="148">
        <v>7.0</v>
      </c>
      <c r="D76" s="15">
        <f t="shared" si="1"/>
        <v>-0.3</v>
      </c>
    </row>
    <row r="77">
      <c r="A77" s="20" t="s">
        <v>269</v>
      </c>
      <c r="B77" s="193">
        <v>0.0109</v>
      </c>
      <c r="C77" s="150">
        <f>(9179+268)/9179-100%</f>
        <v>0.02919708029</v>
      </c>
      <c r="D77" s="15">
        <f>C77-B77</f>
        <v>0.01829708029</v>
      </c>
    </row>
    <row r="82">
      <c r="A82" s="2" t="s">
        <v>270</v>
      </c>
      <c r="B82" s="3"/>
      <c r="C82" s="3"/>
      <c r="D82" s="4"/>
      <c r="G82" s="151"/>
    </row>
    <row r="83">
      <c r="A83" s="6"/>
      <c r="B83" s="7"/>
      <c r="C83" s="7"/>
      <c r="D83" s="8"/>
    </row>
    <row r="84">
      <c r="A84" s="24"/>
      <c r="B84" s="152" t="s">
        <v>395</v>
      </c>
      <c r="C84" s="152" t="s">
        <v>271</v>
      </c>
      <c r="D84" s="22" t="s">
        <v>396</v>
      </c>
      <c r="G84" s="5"/>
      <c r="H84" s="153"/>
      <c r="I84" s="153"/>
      <c r="J84" s="154"/>
    </row>
    <row r="85">
      <c r="A85" s="20" t="s">
        <v>273</v>
      </c>
      <c r="B85" s="152">
        <v>3471.0</v>
      </c>
      <c r="C85" s="152">
        <v>5164.0</v>
      </c>
      <c r="D85" s="155">
        <f t="shared" ref="D85:D93" si="2">C85/B85-100%</f>
        <v>0.48775569</v>
      </c>
      <c r="G85" s="156"/>
      <c r="H85" s="153"/>
      <c r="I85" s="153"/>
      <c r="J85" s="157"/>
    </row>
    <row r="86">
      <c r="A86" s="20" t="s">
        <v>274</v>
      </c>
      <c r="B86" s="152">
        <v>390.0</v>
      </c>
      <c r="C86" s="152">
        <v>492.0</v>
      </c>
      <c r="D86" s="155">
        <f t="shared" si="2"/>
        <v>0.2615384615</v>
      </c>
      <c r="G86" s="156"/>
      <c r="H86" s="153"/>
      <c r="I86" s="153"/>
      <c r="J86" s="157"/>
    </row>
    <row r="87">
      <c r="A87" s="20" t="s">
        <v>275</v>
      </c>
      <c r="B87" s="152">
        <v>11.24</v>
      </c>
      <c r="C87" s="152">
        <v>9.53</v>
      </c>
      <c r="D87" s="23">
        <f t="shared" si="2"/>
        <v>-0.1521352313</v>
      </c>
      <c r="G87" s="156"/>
      <c r="H87" s="153"/>
      <c r="I87" s="153"/>
      <c r="J87" s="157"/>
    </row>
    <row r="88">
      <c r="A88" s="20" t="s">
        <v>276</v>
      </c>
      <c r="B88" s="152">
        <v>18900.0</v>
      </c>
      <c r="C88" s="152">
        <v>23850.0</v>
      </c>
      <c r="D88" s="23">
        <f t="shared" si="2"/>
        <v>0.2619047619</v>
      </c>
      <c r="G88" s="156"/>
      <c r="H88" s="153"/>
      <c r="I88" s="153"/>
      <c r="J88" s="157"/>
    </row>
    <row r="89">
      <c r="A89" s="20" t="s">
        <v>277</v>
      </c>
      <c r="B89" s="152">
        <v>48.46</v>
      </c>
      <c r="C89" s="152">
        <v>48.48</v>
      </c>
      <c r="D89" s="23">
        <f t="shared" si="2"/>
        <v>0.0004127115147</v>
      </c>
      <c r="G89" s="156"/>
      <c r="H89" s="153"/>
      <c r="I89" s="153"/>
      <c r="J89" s="157"/>
    </row>
    <row r="90">
      <c r="A90" s="20" t="s">
        <v>278</v>
      </c>
      <c r="B90" s="152">
        <v>3.9</v>
      </c>
      <c r="C90" s="152">
        <v>4.63</v>
      </c>
      <c r="D90" s="23">
        <f t="shared" si="2"/>
        <v>0.1871794872</v>
      </c>
      <c r="G90" s="156"/>
      <c r="H90" s="153"/>
      <c r="I90" s="153"/>
      <c r="J90" s="157"/>
    </row>
    <row r="91">
      <c r="A91" s="20" t="s">
        <v>279</v>
      </c>
      <c r="B91" s="152">
        <v>50.0</v>
      </c>
      <c r="C91" s="152">
        <v>54.27</v>
      </c>
      <c r="D91" s="23">
        <f t="shared" si="2"/>
        <v>0.0854</v>
      </c>
      <c r="G91" s="156"/>
      <c r="H91" s="153"/>
      <c r="I91" s="153"/>
      <c r="J91" s="157"/>
    </row>
    <row r="92">
      <c r="A92" s="20" t="s">
        <v>280</v>
      </c>
      <c r="B92" s="152">
        <v>96.92</v>
      </c>
      <c r="C92" s="152">
        <v>89.33</v>
      </c>
      <c r="D92" s="23">
        <f t="shared" si="2"/>
        <v>-0.07831200991</v>
      </c>
      <c r="G92" s="154"/>
      <c r="H92" s="153"/>
      <c r="I92" s="153"/>
      <c r="J92" s="157"/>
    </row>
    <row r="93">
      <c r="A93" s="20" t="s">
        <v>281</v>
      </c>
      <c r="B93" s="152">
        <v>195.0</v>
      </c>
      <c r="C93" s="152">
        <v>267.0</v>
      </c>
      <c r="D93" s="23">
        <f t="shared" si="2"/>
        <v>0.3692307692</v>
      </c>
    </row>
    <row r="94">
      <c r="A94" s="156"/>
      <c r="B94" s="153"/>
      <c r="C94" s="153"/>
      <c r="D94" s="157"/>
      <c r="G94" s="156"/>
      <c r="H94" s="156"/>
      <c r="I94" s="153"/>
      <c r="J94" s="157"/>
    </row>
    <row r="95">
      <c r="A95" s="156"/>
      <c r="B95" s="153"/>
      <c r="C95" s="153"/>
      <c r="D95" s="157"/>
      <c r="G95" s="156"/>
      <c r="H95" s="156"/>
      <c r="I95" s="153"/>
      <c r="J95" s="157"/>
    </row>
    <row r="96">
      <c r="A96" s="156"/>
      <c r="B96" s="153"/>
      <c r="C96" s="153"/>
      <c r="D96" s="157"/>
    </row>
    <row r="97">
      <c r="A97" s="156"/>
      <c r="B97" s="153"/>
      <c r="C97" s="153"/>
      <c r="D97" s="157"/>
      <c r="G97" s="156"/>
      <c r="H97" s="156"/>
      <c r="I97" s="153"/>
      <c r="J97" s="157"/>
    </row>
    <row r="100">
      <c r="A100" s="158" t="s">
        <v>282</v>
      </c>
      <c r="B100" s="3"/>
      <c r="C100" s="3"/>
      <c r="D100" s="4"/>
      <c r="E100" s="159"/>
      <c r="F100" s="159"/>
      <c r="G100" s="158" t="s">
        <v>283</v>
      </c>
      <c r="H100" s="3"/>
      <c r="I100" s="3"/>
      <c r="J100" s="4"/>
    </row>
    <row r="101">
      <c r="A101" s="6"/>
      <c r="B101" s="7"/>
      <c r="C101" s="7"/>
      <c r="D101" s="8"/>
      <c r="E101" s="159"/>
      <c r="F101" s="159"/>
      <c r="G101" s="6"/>
      <c r="H101" s="7"/>
      <c r="I101" s="7"/>
      <c r="J101" s="8"/>
    </row>
    <row r="102">
      <c r="A102" s="24"/>
      <c r="B102" s="152" t="s">
        <v>395</v>
      </c>
      <c r="C102" s="152" t="s">
        <v>284</v>
      </c>
      <c r="D102" s="22" t="s">
        <v>397</v>
      </c>
      <c r="E102" s="159"/>
      <c r="F102" s="159"/>
      <c r="G102" s="24"/>
      <c r="H102" s="152" t="s">
        <v>395</v>
      </c>
      <c r="I102" s="152" t="s">
        <v>271</v>
      </c>
      <c r="J102" s="22" t="s">
        <v>397</v>
      </c>
    </row>
    <row r="103">
      <c r="A103" s="20" t="s">
        <v>273</v>
      </c>
      <c r="B103" s="152">
        <v>28766.0</v>
      </c>
      <c r="C103" s="152">
        <v>44459.0</v>
      </c>
      <c r="D103" s="160">
        <f t="shared" ref="D103:D111" si="3">C103/B103-100%</f>
        <v>0.5455398735</v>
      </c>
      <c r="E103" s="159"/>
      <c r="F103" s="159"/>
      <c r="G103" s="20" t="s">
        <v>273</v>
      </c>
      <c r="H103" s="152">
        <v>42029.0</v>
      </c>
      <c r="I103" s="152">
        <v>80131.0</v>
      </c>
      <c r="J103" s="160">
        <f t="shared" ref="J103:J110" si="4">I103/H103-100%</f>
        <v>0.906564515</v>
      </c>
    </row>
    <row r="104">
      <c r="A104" s="20" t="s">
        <v>274</v>
      </c>
      <c r="B104" s="152">
        <v>1971.0</v>
      </c>
      <c r="C104" s="152">
        <v>2440.0</v>
      </c>
      <c r="D104" s="160">
        <f t="shared" si="3"/>
        <v>0.237950279</v>
      </c>
      <c r="E104" s="159"/>
      <c r="F104" s="159"/>
      <c r="G104" s="20" t="s">
        <v>274</v>
      </c>
      <c r="H104" s="152">
        <v>5059.0</v>
      </c>
      <c r="I104" s="152">
        <v>6786.0</v>
      </c>
      <c r="J104" s="160">
        <f t="shared" si="4"/>
        <v>0.3413718126</v>
      </c>
    </row>
    <row r="105">
      <c r="A105" s="20" t="s">
        <v>275</v>
      </c>
      <c r="B105" s="152">
        <v>6.85</v>
      </c>
      <c r="C105" s="152">
        <v>5.49</v>
      </c>
      <c r="D105" s="160">
        <f t="shared" si="3"/>
        <v>-0.198540146</v>
      </c>
      <c r="E105" s="159"/>
      <c r="F105" s="159"/>
      <c r="G105" s="20" t="s">
        <v>275</v>
      </c>
      <c r="H105" s="152">
        <v>12.04</v>
      </c>
      <c r="I105" s="152">
        <v>8.47</v>
      </c>
      <c r="J105" s="160">
        <f t="shared" si="4"/>
        <v>-0.2965116279</v>
      </c>
    </row>
    <row r="106">
      <c r="A106" s="20" t="s">
        <v>276</v>
      </c>
      <c r="B106" s="152">
        <v>55506.0</v>
      </c>
      <c r="C106" s="152">
        <v>71207.0</v>
      </c>
      <c r="D106" s="160">
        <f t="shared" si="3"/>
        <v>0.2828703203</v>
      </c>
      <c r="E106" s="159"/>
      <c r="F106" s="159"/>
      <c r="G106" s="20" t="s">
        <v>276</v>
      </c>
      <c r="H106" s="152">
        <v>8608.0</v>
      </c>
      <c r="I106" s="152">
        <v>10510.0</v>
      </c>
      <c r="J106" s="160">
        <f t="shared" si="4"/>
        <v>0.2209572491</v>
      </c>
    </row>
    <row r="107">
      <c r="A107" s="20" t="s">
        <v>277</v>
      </c>
      <c r="B107" s="152">
        <v>28.16</v>
      </c>
      <c r="C107" s="152">
        <v>29.18</v>
      </c>
      <c r="D107" s="160">
        <f t="shared" si="3"/>
        <v>0.03622159091</v>
      </c>
      <c r="E107" s="159"/>
      <c r="F107" s="159"/>
      <c r="G107" s="20" t="s">
        <v>277</v>
      </c>
      <c r="H107" s="152">
        <v>1.7</v>
      </c>
      <c r="I107" s="152">
        <v>1.55</v>
      </c>
      <c r="J107" s="160">
        <f t="shared" si="4"/>
        <v>-0.08823529412</v>
      </c>
    </row>
    <row r="108">
      <c r="A108" s="20" t="s">
        <v>279</v>
      </c>
      <c r="B108" s="152">
        <v>47.29</v>
      </c>
      <c r="C108" s="152">
        <v>52.83</v>
      </c>
      <c r="D108" s="160">
        <f t="shared" si="3"/>
        <v>0.1171495031</v>
      </c>
      <c r="E108" s="159"/>
      <c r="F108" s="159"/>
      <c r="G108" s="20" t="s">
        <v>279</v>
      </c>
      <c r="H108" s="152">
        <v>11.96</v>
      </c>
      <c r="I108" s="152">
        <v>9.62</v>
      </c>
      <c r="J108" s="160">
        <f t="shared" si="4"/>
        <v>-0.1956521739</v>
      </c>
    </row>
    <row r="109">
      <c r="A109" s="20" t="s">
        <v>280</v>
      </c>
      <c r="B109" s="152">
        <v>59.56</v>
      </c>
      <c r="C109" s="152">
        <v>55.24</v>
      </c>
      <c r="D109" s="160">
        <f t="shared" si="3"/>
        <v>-0.0725319006</v>
      </c>
      <c r="E109" s="159"/>
      <c r="F109" s="159"/>
      <c r="G109" s="20" t="s">
        <v>280</v>
      </c>
      <c r="H109" s="152">
        <v>14.23</v>
      </c>
      <c r="I109" s="152">
        <v>16.1</v>
      </c>
      <c r="J109" s="160">
        <f t="shared" si="4"/>
        <v>0.1314125088</v>
      </c>
    </row>
    <row r="110">
      <c r="A110" s="20" t="s">
        <v>281</v>
      </c>
      <c r="B110" s="152">
        <v>932.0</v>
      </c>
      <c r="C110" s="152">
        <v>1289.0</v>
      </c>
      <c r="D110" s="160">
        <f t="shared" si="3"/>
        <v>0.3830472103</v>
      </c>
      <c r="E110" s="159"/>
      <c r="F110" s="159"/>
      <c r="G110" s="20" t="s">
        <v>281</v>
      </c>
      <c r="H110" s="152">
        <v>605.0</v>
      </c>
      <c r="I110" s="152">
        <v>653.0</v>
      </c>
      <c r="J110" s="161">
        <f t="shared" si="4"/>
        <v>0.07933884298</v>
      </c>
    </row>
    <row r="111">
      <c r="A111" s="20" t="s">
        <v>278</v>
      </c>
      <c r="B111" s="152">
        <v>5.01</v>
      </c>
      <c r="C111" s="152">
        <v>5.15</v>
      </c>
      <c r="D111" s="160">
        <f t="shared" si="3"/>
        <v>0.02794411178</v>
      </c>
      <c r="E111" s="159"/>
      <c r="F111" s="159"/>
      <c r="G111" s="159"/>
      <c r="H111" s="159"/>
      <c r="J111" s="162"/>
    </row>
    <row r="112">
      <c r="A112" s="159"/>
      <c r="B112" s="159"/>
      <c r="C112" s="159"/>
      <c r="D112" s="159"/>
      <c r="E112" s="159"/>
      <c r="F112" s="159"/>
      <c r="G112" s="159"/>
      <c r="H112" s="159"/>
    </row>
    <row r="113">
      <c r="E113" s="159"/>
      <c r="F113" s="159"/>
      <c r="G113" s="159"/>
      <c r="H113" s="159"/>
    </row>
    <row r="114">
      <c r="A114" s="158" t="s">
        <v>286</v>
      </c>
      <c r="B114" s="3"/>
      <c r="C114" s="3"/>
      <c r="D114" s="4"/>
      <c r="E114" s="159"/>
      <c r="F114" s="159"/>
      <c r="G114" s="158" t="s">
        <v>287</v>
      </c>
      <c r="H114" s="3"/>
      <c r="I114" s="3"/>
      <c r="J114" s="4"/>
    </row>
    <row r="115">
      <c r="A115" s="6"/>
      <c r="B115" s="7"/>
      <c r="C115" s="7"/>
      <c r="D115" s="8"/>
      <c r="E115" s="159"/>
      <c r="F115" s="159"/>
      <c r="G115" s="6"/>
      <c r="H115" s="7"/>
      <c r="I115" s="7"/>
      <c r="J115" s="8"/>
    </row>
    <row r="116">
      <c r="A116" s="24"/>
      <c r="B116" s="152" t="s">
        <v>398</v>
      </c>
      <c r="C116" s="152" t="s">
        <v>271</v>
      </c>
      <c r="D116" s="22" t="s">
        <v>397</v>
      </c>
      <c r="E116" s="159"/>
      <c r="F116" s="159"/>
      <c r="G116" s="24"/>
      <c r="H116" s="152" t="s">
        <v>395</v>
      </c>
      <c r="I116" s="152" t="s">
        <v>271</v>
      </c>
      <c r="J116" s="22" t="s">
        <v>397</v>
      </c>
    </row>
    <row r="117">
      <c r="A117" s="20" t="s">
        <v>273</v>
      </c>
      <c r="B117" s="152">
        <v>214750.0</v>
      </c>
      <c r="C117" s="152">
        <v>235859.0</v>
      </c>
      <c r="D117" s="160">
        <f t="shared" ref="D117:D125" si="5">C117/B117-100%</f>
        <v>0.09829569267</v>
      </c>
      <c r="E117" s="159"/>
      <c r="F117" s="159"/>
      <c r="G117" s="20" t="s">
        <v>273</v>
      </c>
      <c r="H117" s="152">
        <v>10035.0</v>
      </c>
      <c r="I117" s="152">
        <v>67563.0</v>
      </c>
      <c r="J117" s="160">
        <f t="shared" ref="J117:J124" si="6">I117/H117-100%</f>
        <v>5.732735426</v>
      </c>
    </row>
    <row r="118">
      <c r="A118" s="20" t="s">
        <v>274</v>
      </c>
      <c r="B118" s="152">
        <v>1773.0</v>
      </c>
      <c r="C118" s="152">
        <v>1811.0</v>
      </c>
      <c r="D118" s="160">
        <f t="shared" si="5"/>
        <v>0.02143260011</v>
      </c>
      <c r="E118" s="159"/>
      <c r="F118" s="159"/>
      <c r="G118" s="20" t="s">
        <v>274</v>
      </c>
      <c r="H118" s="152">
        <v>339.0</v>
      </c>
      <c r="I118" s="152">
        <v>6604.0</v>
      </c>
      <c r="J118" s="160">
        <f t="shared" si="6"/>
        <v>18.48082596</v>
      </c>
    </row>
    <row r="119">
      <c r="A119" s="20" t="s">
        <v>275</v>
      </c>
      <c r="B119" s="152">
        <v>0.83</v>
      </c>
      <c r="C119" s="152">
        <v>0.77</v>
      </c>
      <c r="D119" s="160">
        <f t="shared" si="5"/>
        <v>-0.07228915663</v>
      </c>
      <c r="G119" s="20" t="s">
        <v>275</v>
      </c>
      <c r="H119" s="152">
        <v>3.39</v>
      </c>
      <c r="I119" s="152">
        <v>9.77</v>
      </c>
      <c r="J119" s="160">
        <f t="shared" si="6"/>
        <v>1.8820059</v>
      </c>
    </row>
    <row r="120">
      <c r="A120" s="20" t="s">
        <v>276</v>
      </c>
      <c r="B120" s="152">
        <v>11553.87</v>
      </c>
      <c r="C120" s="152">
        <v>14514.0</v>
      </c>
      <c r="D120" s="160">
        <f t="shared" si="5"/>
        <v>0.2562024672</v>
      </c>
      <c r="G120" s="20" t="s">
        <v>276</v>
      </c>
      <c r="H120" s="152">
        <v>1451.69</v>
      </c>
      <c r="I120" s="152">
        <v>11966.98</v>
      </c>
      <c r="J120" s="160">
        <f t="shared" si="6"/>
        <v>7.243481735</v>
      </c>
    </row>
    <row r="121">
      <c r="A121" s="20" t="s">
        <v>277</v>
      </c>
      <c r="B121" s="152">
        <v>6.52</v>
      </c>
      <c r="C121" s="152">
        <v>8.01</v>
      </c>
      <c r="D121" s="160">
        <f t="shared" si="5"/>
        <v>0.2285276074</v>
      </c>
      <c r="G121" s="20" t="s">
        <v>277</v>
      </c>
      <c r="H121" s="152">
        <v>4.28</v>
      </c>
      <c r="I121" s="152">
        <v>1.81</v>
      </c>
      <c r="J121" s="160">
        <f t="shared" si="6"/>
        <v>-0.5771028037</v>
      </c>
    </row>
    <row r="122">
      <c r="A122" s="20" t="s">
        <v>279</v>
      </c>
      <c r="B122" s="152">
        <v>4.29</v>
      </c>
      <c r="C122" s="152">
        <v>4.25</v>
      </c>
      <c r="D122" s="160">
        <f t="shared" si="5"/>
        <v>-0.009324009324</v>
      </c>
      <c r="G122" s="20" t="s">
        <v>279</v>
      </c>
      <c r="H122" s="152">
        <v>1.77</v>
      </c>
      <c r="I122" s="152">
        <v>0.47</v>
      </c>
      <c r="J122" s="160">
        <f t="shared" si="6"/>
        <v>-0.7344632768</v>
      </c>
    </row>
    <row r="123">
      <c r="A123" s="20" t="s">
        <v>280</v>
      </c>
      <c r="B123" s="152">
        <v>152.02</v>
      </c>
      <c r="C123" s="152">
        <v>188.5</v>
      </c>
      <c r="D123" s="160">
        <f t="shared" si="5"/>
        <v>0.2399684252</v>
      </c>
      <c r="G123" s="20" t="s">
        <v>280</v>
      </c>
      <c r="H123" s="152">
        <v>241.95</v>
      </c>
      <c r="I123" s="152">
        <v>386.03</v>
      </c>
      <c r="J123" s="160">
        <f t="shared" si="6"/>
        <v>0.595494937</v>
      </c>
    </row>
    <row r="124">
      <c r="A124" s="20" t="s">
        <v>281</v>
      </c>
      <c r="B124" s="152">
        <v>76.0</v>
      </c>
      <c r="C124" s="152">
        <v>77.0</v>
      </c>
      <c r="D124" s="160">
        <f t="shared" si="5"/>
        <v>0.01315789474</v>
      </c>
      <c r="G124" s="20" t="s">
        <v>281</v>
      </c>
      <c r="H124" s="152">
        <v>6.0</v>
      </c>
      <c r="I124" s="152">
        <v>31.0</v>
      </c>
      <c r="J124" s="161">
        <f t="shared" si="6"/>
        <v>4.166666667</v>
      </c>
    </row>
    <row r="125">
      <c r="A125" s="20" t="s">
        <v>278</v>
      </c>
      <c r="B125" s="152">
        <v>1.18</v>
      </c>
      <c r="C125" s="152">
        <v>1.21</v>
      </c>
      <c r="D125" s="160">
        <f t="shared" si="5"/>
        <v>0.02542372881</v>
      </c>
      <c r="J125" s="162"/>
    </row>
    <row r="139">
      <c r="A139" s="5"/>
      <c r="B139" s="163"/>
      <c r="C139" s="163"/>
      <c r="D139" s="163"/>
      <c r="E139" s="163"/>
      <c r="F139" s="163"/>
      <c r="G139" s="163"/>
    </row>
    <row r="140">
      <c r="A140" s="164"/>
      <c r="B140" s="164"/>
      <c r="C140" s="164"/>
      <c r="D140" s="164"/>
      <c r="E140" s="165"/>
      <c r="F140" s="165"/>
      <c r="G140" s="165"/>
    </row>
    <row r="141">
      <c r="A141" s="163"/>
      <c r="B141" s="163"/>
      <c r="C141" s="163"/>
      <c r="D141" s="163"/>
      <c r="E141" s="166"/>
      <c r="F141" s="166"/>
      <c r="G141" s="166"/>
    </row>
  </sheetData>
  <mergeCells count="8">
    <mergeCell ref="J3:L7"/>
    <mergeCell ref="A66:D67"/>
    <mergeCell ref="A82:D83"/>
    <mergeCell ref="G82:J83"/>
    <mergeCell ref="A100:D101"/>
    <mergeCell ref="G100:J101"/>
    <mergeCell ref="A114:D115"/>
    <mergeCell ref="G114:J115"/>
  </mergeCells>
  <conditionalFormatting sqref="D69:D77">
    <cfRule type="cellIs" dxfId="5" priority="1" operator="greaterThanOrEqual">
      <formula>"1%"</formula>
    </cfRule>
  </conditionalFormatting>
  <conditionalFormatting sqref="D69:D77">
    <cfRule type="cellIs" dxfId="1" priority="2" operator="lessThanOrEqual">
      <formula>"0%"</formula>
    </cfRule>
  </conditionalFormatting>
  <conditionalFormatting sqref="D103:D105 J103:J105 D108 J108 D110:D111 J110:J111 D117:D119 J117:J119 D122 J122 D124:D125 J124:J125">
    <cfRule type="cellIs" dxfId="0" priority="3" operator="greaterThanOrEqual">
      <formula>"1%"</formula>
    </cfRule>
  </conditionalFormatting>
  <conditionalFormatting sqref="D103:D105 J103:J105 D108 J108 D110:D111 J110:J111 D117:D119 J117:J119 D122 J122 D124:D125 J124:J125">
    <cfRule type="cellIs" dxfId="1" priority="4" operator="lessThanOrEqual">
      <formula>"0%"</formula>
    </cfRule>
  </conditionalFormatting>
  <conditionalFormatting sqref="D106:D107 J106:J107 D109 J109 D120:D121 J120:J121 D123 J123">
    <cfRule type="cellIs" dxfId="1" priority="5" operator="greaterThanOrEqual">
      <formula>"0%"</formula>
    </cfRule>
  </conditionalFormatting>
  <conditionalFormatting sqref="D106:D107 J106:J107 D109 J109 D120:D121 J120:J121 D123 J123">
    <cfRule type="cellIs" dxfId="0" priority="6" operator="lessThanOrEqual">
      <formula>"-1%"</formula>
    </cfRule>
  </conditionalFormatting>
  <conditionalFormatting sqref="D85:D87 D93:D94 D96:D97 D129 D90">
    <cfRule type="cellIs" dxfId="0" priority="7" operator="greaterThanOrEqual">
      <formula>"1%"</formula>
    </cfRule>
  </conditionalFormatting>
  <conditionalFormatting sqref="D85:D87 D93:D94 D96:D97 D129 D90">
    <cfRule type="cellIs" dxfId="1" priority="8" operator="lessThanOrEqual">
      <formula>"0%"</formula>
    </cfRule>
  </conditionalFormatting>
  <conditionalFormatting sqref="D88:D89 D92 D95">
    <cfRule type="cellIs" dxfId="1" priority="9" operator="greaterThanOrEqual">
      <formula>"0%"</formula>
    </cfRule>
  </conditionalFormatting>
  <conditionalFormatting sqref="D88:D89 D92 D95">
    <cfRule type="cellIs" dxfId="0" priority="10" operator="lessThanOrEqual">
      <formula>"-1%"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6.75"/>
    <col customWidth="1" min="4" max="4" width="25.63"/>
  </cols>
  <sheetData>
    <row r="1">
      <c r="A1" s="153" t="s">
        <v>288</v>
      </c>
      <c r="B1" s="153"/>
      <c r="C1" s="153"/>
      <c r="D1" s="153"/>
      <c r="G1" s="153"/>
    </row>
    <row r="2">
      <c r="A2" s="153" t="s">
        <v>289</v>
      </c>
      <c r="B2" s="153"/>
      <c r="C2" s="153"/>
      <c r="D2" s="153"/>
      <c r="F2" s="153"/>
      <c r="G2" s="153"/>
    </row>
    <row r="3">
      <c r="A3" s="153" t="s">
        <v>290</v>
      </c>
      <c r="B3" s="153"/>
      <c r="C3" s="153"/>
      <c r="D3" s="153"/>
      <c r="F3" s="153"/>
      <c r="G3" s="153"/>
    </row>
    <row r="4">
      <c r="A4" s="194"/>
      <c r="B4" s="153"/>
      <c r="C4" s="153"/>
      <c r="D4" s="153"/>
    </row>
    <row r="6">
      <c r="A6" s="167"/>
    </row>
  </sheetData>
  <mergeCells count="2">
    <mergeCell ref="G1:H1"/>
    <mergeCell ref="A6:D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6.75"/>
    <col customWidth="1" min="3" max="3" width="29.5"/>
    <col customWidth="1" min="4" max="4" width="22.88"/>
    <col customWidth="1" min="5" max="5" width="21.63"/>
    <col customWidth="1" min="6" max="6" width="20.25"/>
    <col customWidth="1" min="7" max="7" width="19.5"/>
    <col customWidth="1" min="10" max="10" width="3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4"/>
      <c r="H2" s="5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7"/>
      <c r="D3" s="7"/>
      <c r="E3" s="7"/>
      <c r="F3" s="7"/>
      <c r="G3" s="8"/>
      <c r="H3" s="5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</v>
      </c>
      <c r="B4" s="10" t="s">
        <v>399</v>
      </c>
      <c r="C4" s="10" t="s">
        <v>400</v>
      </c>
      <c r="D4" s="10" t="s">
        <v>292</v>
      </c>
      <c r="E4" s="10" t="s">
        <v>293</v>
      </c>
      <c r="F4" s="10" t="s">
        <v>401</v>
      </c>
      <c r="G4" s="10" t="s">
        <v>294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8</v>
      </c>
      <c r="B5" s="11">
        <v>4200000.0</v>
      </c>
      <c r="C5" s="12">
        <v>4452951.0</v>
      </c>
      <c r="D5" s="11">
        <v>4230000.0</v>
      </c>
      <c r="E5" s="12">
        <v>4565805.0</v>
      </c>
      <c r="F5" s="15">
        <f t="shared" ref="F5:F6" si="1">C5/B5</f>
        <v>1.060226429</v>
      </c>
      <c r="G5" s="16">
        <f t="shared" ref="G5:G6" si="2">E5/D5</f>
        <v>1.079386525</v>
      </c>
      <c r="H5" s="5"/>
      <c r="I5" s="17"/>
      <c r="J5" s="18"/>
      <c r="K5" s="19"/>
      <c r="L5" s="1"/>
      <c r="M5" s="17"/>
      <c r="N5" s="18"/>
      <c r="O5" s="1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11">
        <v>8200000.0</v>
      </c>
      <c r="C6" s="12">
        <v>8108611.0</v>
      </c>
      <c r="D6" s="11">
        <v>8280000.0</v>
      </c>
      <c r="E6" s="12">
        <v>7994838.0</v>
      </c>
      <c r="F6" s="15">
        <f t="shared" si="1"/>
        <v>0.988855</v>
      </c>
      <c r="G6" s="16">
        <f t="shared" si="2"/>
        <v>0.9655601449</v>
      </c>
      <c r="H6" s="5"/>
      <c r="I6" s="17"/>
      <c r="J6" s="18"/>
      <c r="K6" s="19"/>
      <c r="L6" s="1"/>
      <c r="M6" s="17"/>
      <c r="N6" s="18"/>
      <c r="O6" s="1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5"/>
      <c r="C7" s="5"/>
      <c r="D7" s="5"/>
      <c r="E7" s="5"/>
      <c r="F7" s="5"/>
      <c r="G7" s="5"/>
      <c r="H7" s="5"/>
      <c r="I7" s="17"/>
      <c r="J7" s="18"/>
      <c r="K7" s="19"/>
      <c r="L7" s="1"/>
      <c r="M7" s="17"/>
      <c r="N7" s="18"/>
      <c r="O7" s="1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/>
      <c r="C8" s="3"/>
      <c r="D8" s="3"/>
      <c r="E8" s="3"/>
      <c r="F8" s="3"/>
      <c r="G8" s="4"/>
      <c r="H8" s="5"/>
      <c r="I8" s="17"/>
      <c r="J8" s="18"/>
      <c r="K8" s="19"/>
      <c r="L8" s="1"/>
      <c r="M8" s="17"/>
      <c r="N8" s="18"/>
      <c r="O8" s="1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7"/>
      <c r="E9" s="7"/>
      <c r="F9" s="7"/>
      <c r="G9" s="8"/>
      <c r="H9" s="5"/>
      <c r="I9" s="17"/>
      <c r="J9" s="18"/>
      <c r="K9" s="19"/>
      <c r="L9" s="1"/>
      <c r="M9" s="17"/>
      <c r="N9" s="18"/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 t="s">
        <v>1</v>
      </c>
      <c r="B10" s="10" t="s">
        <v>399</v>
      </c>
      <c r="C10" s="10" t="s">
        <v>400</v>
      </c>
      <c r="D10" s="10" t="s">
        <v>292</v>
      </c>
      <c r="E10" s="10" t="s">
        <v>293</v>
      </c>
      <c r="F10" s="10" t="s">
        <v>401</v>
      </c>
      <c r="G10" s="10" t="s">
        <v>294</v>
      </c>
      <c r="H10" s="5"/>
      <c r="I10" s="17"/>
      <c r="K10" s="21"/>
      <c r="L10" s="1"/>
      <c r="M10" s="17"/>
      <c r="N10" s="18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8</v>
      </c>
      <c r="B11" s="22">
        <v>310.0</v>
      </c>
      <c r="C11" s="22">
        <v>278.0</v>
      </c>
      <c r="D11" s="22">
        <v>320.0</v>
      </c>
      <c r="E11" s="22">
        <v>275.0</v>
      </c>
      <c r="F11" s="23">
        <f t="shared" ref="F11:F12" si="3">C11/B11</f>
        <v>0.8967741935</v>
      </c>
      <c r="G11" s="23">
        <f t="shared" ref="G11:G12" si="4">E11/D11</f>
        <v>0.859375</v>
      </c>
      <c r="H11" s="5"/>
      <c r="I11" s="17"/>
      <c r="K11" s="21"/>
      <c r="L11" s="1"/>
      <c r="M11" s="17"/>
      <c r="N11" s="18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9</v>
      </c>
      <c r="B12" s="22">
        <v>650.0</v>
      </c>
      <c r="C12" s="22">
        <v>744.0</v>
      </c>
      <c r="D12" s="22">
        <v>760.0</v>
      </c>
      <c r="E12" s="22">
        <v>577.0</v>
      </c>
      <c r="F12" s="155">
        <f t="shared" si="3"/>
        <v>1.144615385</v>
      </c>
      <c r="G12" s="23">
        <f t="shared" si="4"/>
        <v>0.7592105263</v>
      </c>
      <c r="H12" s="5"/>
      <c r="I12" s="17"/>
      <c r="K12" s="21"/>
      <c r="L12" s="1"/>
      <c r="M12" s="17"/>
      <c r="N12" s="18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5"/>
      <c r="I13" s="17"/>
      <c r="J13" s="18"/>
      <c r="K13" s="21"/>
      <c r="L13" s="1"/>
      <c r="M13" s="17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/>
      <c r="B14" s="25"/>
      <c r="C14" s="26" t="s">
        <v>12</v>
      </c>
      <c r="D14" s="27"/>
      <c r="E14" s="28"/>
      <c r="F14" s="26" t="s">
        <v>13</v>
      </c>
      <c r="G14" s="28"/>
      <c r="H14" s="26" t="s">
        <v>14</v>
      </c>
      <c r="I14" s="28"/>
      <c r="J14" s="29"/>
      <c r="K14" s="5"/>
      <c r="L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/>
      <c r="B15" s="31"/>
      <c r="C15" s="32" t="s">
        <v>15</v>
      </c>
      <c r="D15" s="32" t="s">
        <v>16</v>
      </c>
      <c r="E15" s="32" t="s">
        <v>17</v>
      </c>
      <c r="F15" s="32" t="s">
        <v>15</v>
      </c>
      <c r="G15" s="32" t="s">
        <v>16</v>
      </c>
      <c r="H15" s="32" t="s">
        <v>15</v>
      </c>
      <c r="I15" s="33" t="s">
        <v>16</v>
      </c>
      <c r="J15" s="34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2" t="s">
        <v>19</v>
      </c>
      <c r="B16" s="35">
        <v>1.0</v>
      </c>
      <c r="C16" s="36">
        <v>117669.0</v>
      </c>
      <c r="D16" s="36">
        <v>222125.0</v>
      </c>
      <c r="E16" s="36">
        <f t="shared" ref="E16:E21" si="6">SUM(C16:D16)</f>
        <v>339794</v>
      </c>
      <c r="F16" s="37">
        <v>92.0</v>
      </c>
      <c r="G16" s="37">
        <v>179.0</v>
      </c>
      <c r="H16" s="36">
        <f t="shared" ref="H16:I16" si="5">C16/F16</f>
        <v>1279.01087</v>
      </c>
      <c r="I16" s="36">
        <f t="shared" si="5"/>
        <v>1240.921788</v>
      </c>
      <c r="J16" s="41"/>
      <c r="K16" s="32" t="s">
        <v>15</v>
      </c>
      <c r="L16" s="32" t="s">
        <v>16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2" t="s">
        <v>20</v>
      </c>
      <c r="B17" s="35">
        <v>2.0</v>
      </c>
      <c r="C17" s="36">
        <v>107860.0</v>
      </c>
      <c r="D17" s="36">
        <v>203891.0</v>
      </c>
      <c r="E17" s="36">
        <f t="shared" si="6"/>
        <v>311751</v>
      </c>
      <c r="F17" s="37">
        <v>91.0</v>
      </c>
      <c r="G17" s="37">
        <v>206.0</v>
      </c>
      <c r="H17" s="36">
        <f t="shared" ref="H17:I17" si="7">C17/F17</f>
        <v>1185.274725</v>
      </c>
      <c r="I17" s="195">
        <f t="shared" si="7"/>
        <v>989.7621359</v>
      </c>
      <c r="J17" s="43" t="s">
        <v>21</v>
      </c>
      <c r="K17" s="36">
        <f t="shared" ref="K17:L17" si="8">SUM(C16:C18)</f>
        <v>380596</v>
      </c>
      <c r="L17" s="36">
        <f t="shared" si="8"/>
        <v>687677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2" t="s">
        <v>22</v>
      </c>
      <c r="B18" s="35">
        <v>3.0</v>
      </c>
      <c r="C18" s="36">
        <v>155067.0</v>
      </c>
      <c r="D18" s="36">
        <v>261661.0</v>
      </c>
      <c r="E18" s="36">
        <f t="shared" si="6"/>
        <v>416728</v>
      </c>
      <c r="F18" s="37">
        <v>118.0</v>
      </c>
      <c r="G18" s="37">
        <v>206.0</v>
      </c>
      <c r="H18" s="36">
        <f t="shared" ref="H18:I18" si="9">C18/F18</f>
        <v>1314.127119</v>
      </c>
      <c r="I18" s="36">
        <f t="shared" si="9"/>
        <v>1270.199029</v>
      </c>
      <c r="J18" s="43" t="s">
        <v>23</v>
      </c>
      <c r="K18" s="36">
        <f t="shared" ref="K18:L18" si="10">SUM(C19:C21)</f>
        <v>672398</v>
      </c>
      <c r="L18" s="36">
        <f t="shared" si="10"/>
        <v>1093829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4" t="s">
        <v>24</v>
      </c>
      <c r="B19" s="35">
        <v>4.0</v>
      </c>
      <c r="C19" s="45">
        <v>228415.0</v>
      </c>
      <c r="D19" s="45">
        <v>388248.0</v>
      </c>
      <c r="E19" s="45">
        <f t="shared" si="6"/>
        <v>616663</v>
      </c>
      <c r="F19" s="46">
        <v>158.0</v>
      </c>
      <c r="G19" s="46">
        <v>280.0</v>
      </c>
      <c r="H19" s="196">
        <f t="shared" ref="H19:I19" si="11">C19/F19</f>
        <v>1445.664557</v>
      </c>
      <c r="I19" s="196">
        <f t="shared" si="11"/>
        <v>1386.6</v>
      </c>
      <c r="J19" s="43" t="s">
        <v>17</v>
      </c>
      <c r="K19" s="36">
        <f t="shared" ref="K19:L19" si="12">SUM(K17:K18)</f>
        <v>1052994</v>
      </c>
      <c r="L19" s="36">
        <f t="shared" si="12"/>
        <v>1781506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4" t="s">
        <v>25</v>
      </c>
      <c r="B20" s="35">
        <v>5.0</v>
      </c>
      <c r="C20" s="45">
        <v>265991.0</v>
      </c>
      <c r="D20" s="45">
        <v>392163.0</v>
      </c>
      <c r="E20" s="45">
        <f t="shared" si="6"/>
        <v>658154</v>
      </c>
      <c r="F20" s="46">
        <v>169.0</v>
      </c>
      <c r="G20" s="46">
        <v>283.0</v>
      </c>
      <c r="H20" s="196">
        <f t="shared" ref="H20:I20" si="13">C20/F20</f>
        <v>1573.911243</v>
      </c>
      <c r="I20" s="196">
        <f t="shared" si="13"/>
        <v>1385.734982</v>
      </c>
      <c r="J20" s="42" t="s">
        <v>26</v>
      </c>
      <c r="K20" s="48">
        <f t="shared" ref="K20:L20" si="14">K17/K18</f>
        <v>0.5660278585</v>
      </c>
      <c r="L20" s="48">
        <f t="shared" si="14"/>
        <v>0.6286878479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4" t="s">
        <v>27</v>
      </c>
      <c r="B21" s="35">
        <v>6.0</v>
      </c>
      <c r="C21" s="45">
        <v>177992.0</v>
      </c>
      <c r="D21" s="45">
        <v>313418.0</v>
      </c>
      <c r="E21" s="45">
        <f t="shared" si="6"/>
        <v>491410</v>
      </c>
      <c r="F21" s="46">
        <v>136.0</v>
      </c>
      <c r="G21" s="46">
        <v>274.0</v>
      </c>
      <c r="H21" s="45">
        <f t="shared" ref="H21:I21" si="15">C21/F21</f>
        <v>1308.764706</v>
      </c>
      <c r="I21" s="45">
        <f t="shared" si="15"/>
        <v>1143.861314</v>
      </c>
      <c r="J21" s="42" t="s">
        <v>28</v>
      </c>
      <c r="K21" s="48">
        <f t="shared" ref="K21:L21" si="16">1-K17/K18</f>
        <v>0.4339721415</v>
      </c>
      <c r="L21" s="48">
        <f t="shared" si="16"/>
        <v>0.3713121521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/>
      <c r="B22" s="49" t="s">
        <v>29</v>
      </c>
      <c r="C22" s="50">
        <f t="shared" ref="C22:G22" si="17">SUM(C16:C21)</f>
        <v>1052994</v>
      </c>
      <c r="D22" s="50">
        <f t="shared" si="17"/>
        <v>1781506</v>
      </c>
      <c r="E22" s="50">
        <f t="shared" si="17"/>
        <v>2834500</v>
      </c>
      <c r="F22" s="57">
        <f t="shared" si="17"/>
        <v>764</v>
      </c>
      <c r="G22" s="57">
        <f t="shared" si="17"/>
        <v>1428</v>
      </c>
      <c r="H22" s="50">
        <f t="shared" ref="H22:I22" si="18">C22/F22</f>
        <v>1378.264398</v>
      </c>
      <c r="I22" s="50">
        <f t="shared" si="18"/>
        <v>1247.553221</v>
      </c>
      <c r="J22" s="53"/>
      <c r="K22" s="53"/>
      <c r="L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2" t="s">
        <v>18</v>
      </c>
      <c r="B23" s="35">
        <v>7.0</v>
      </c>
      <c r="C23" s="36">
        <v>129039.0</v>
      </c>
      <c r="D23" s="36">
        <v>219641.0</v>
      </c>
      <c r="E23" s="36">
        <f t="shared" ref="E23:E29" si="20">SUM(C23:D23)</f>
        <v>348680</v>
      </c>
      <c r="F23" s="37">
        <v>92.0</v>
      </c>
      <c r="G23" s="37">
        <v>173.0</v>
      </c>
      <c r="H23" s="36">
        <f t="shared" ref="H23:I23" si="19">C23/F23</f>
        <v>1402.597826</v>
      </c>
      <c r="I23" s="38">
        <f t="shared" si="19"/>
        <v>1269.601156</v>
      </c>
      <c r="J23" s="54"/>
      <c r="K23" s="52"/>
      <c r="L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 t="s">
        <v>19</v>
      </c>
      <c r="B24" s="35">
        <v>8.0</v>
      </c>
      <c r="C24" s="36">
        <v>178543.0</v>
      </c>
      <c r="D24" s="36">
        <v>255303.0</v>
      </c>
      <c r="E24" s="36">
        <f t="shared" si="20"/>
        <v>433846</v>
      </c>
      <c r="F24" s="37">
        <v>128.0</v>
      </c>
      <c r="G24" s="37">
        <v>206.0</v>
      </c>
      <c r="H24" s="36">
        <f t="shared" ref="H24:I24" si="21">C24/F24</f>
        <v>1394.867188</v>
      </c>
      <c r="I24" s="38">
        <f t="shared" si="21"/>
        <v>1239.334951</v>
      </c>
      <c r="J24" s="197"/>
      <c r="K24" s="56" t="s">
        <v>15</v>
      </c>
      <c r="L24" s="32" t="s">
        <v>16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2" t="s">
        <v>20</v>
      </c>
      <c r="B25" s="35">
        <v>9.0</v>
      </c>
      <c r="C25" s="36">
        <v>136923.0</v>
      </c>
      <c r="D25" s="36">
        <v>232199.0</v>
      </c>
      <c r="E25" s="36">
        <f t="shared" si="20"/>
        <v>369122</v>
      </c>
      <c r="F25" s="37">
        <v>107.0</v>
      </c>
      <c r="G25" s="37">
        <v>208.0</v>
      </c>
      <c r="H25" s="36">
        <f t="shared" ref="H25:I25" si="22">C25/F25</f>
        <v>1279.654206</v>
      </c>
      <c r="I25" s="38">
        <f t="shared" si="22"/>
        <v>1116.341346</v>
      </c>
      <c r="J25" s="42" t="s">
        <v>21</v>
      </c>
      <c r="K25" s="36">
        <f t="shared" ref="K25:L25" si="23">SUM(C23:C26)</f>
        <v>576630</v>
      </c>
      <c r="L25" s="36">
        <f t="shared" si="23"/>
        <v>922650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2" t="s">
        <v>22</v>
      </c>
      <c r="B26" s="35">
        <v>10.0</v>
      </c>
      <c r="C26" s="36">
        <v>132125.0</v>
      </c>
      <c r="D26" s="36">
        <v>215507.0</v>
      </c>
      <c r="E26" s="36">
        <f t="shared" si="20"/>
        <v>347632</v>
      </c>
      <c r="F26" s="37">
        <v>100.0</v>
      </c>
      <c r="G26" s="37">
        <v>193.0</v>
      </c>
      <c r="H26" s="36">
        <f t="shared" ref="H26:I26" si="24">C26/F26</f>
        <v>1321.25</v>
      </c>
      <c r="I26" s="38">
        <f t="shared" si="24"/>
        <v>1116.61658</v>
      </c>
      <c r="J26" s="56" t="s">
        <v>23</v>
      </c>
      <c r="K26" s="36">
        <f t="shared" ref="K26:L26" si="25">SUM(C27:C29)</f>
        <v>598601</v>
      </c>
      <c r="L26" s="36">
        <f t="shared" si="25"/>
        <v>1058003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4" t="s">
        <v>24</v>
      </c>
      <c r="B27" s="35">
        <v>11.0</v>
      </c>
      <c r="C27" s="45">
        <v>241195.0</v>
      </c>
      <c r="D27" s="45">
        <v>411657.0</v>
      </c>
      <c r="E27" s="47">
        <f t="shared" si="20"/>
        <v>652852</v>
      </c>
      <c r="F27" s="46">
        <v>166.0</v>
      </c>
      <c r="G27" s="46">
        <v>281.0</v>
      </c>
      <c r="H27" s="45">
        <f t="shared" ref="H27:I27" si="26">C27/F27</f>
        <v>1452.981928</v>
      </c>
      <c r="I27" s="47">
        <f t="shared" si="26"/>
        <v>1464.97153</v>
      </c>
      <c r="J27" s="56" t="s">
        <v>17</v>
      </c>
      <c r="K27" s="36">
        <f t="shared" ref="K27:L27" si="27">SUM(K25:K26)</f>
        <v>1175231</v>
      </c>
      <c r="L27" s="36">
        <f t="shared" si="27"/>
        <v>1980653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4" t="s">
        <v>25</v>
      </c>
      <c r="B28" s="35">
        <v>12.0</v>
      </c>
      <c r="C28" s="45">
        <v>198126.0</v>
      </c>
      <c r="D28" s="45">
        <v>326108.0</v>
      </c>
      <c r="E28" s="47">
        <f t="shared" si="20"/>
        <v>524234</v>
      </c>
      <c r="F28" s="46">
        <v>146.0</v>
      </c>
      <c r="G28" s="46">
        <v>262.0</v>
      </c>
      <c r="H28" s="45">
        <f t="shared" ref="H28:I28" si="28">C28/F28</f>
        <v>1357.027397</v>
      </c>
      <c r="I28" s="47">
        <f t="shared" si="28"/>
        <v>1244.687023</v>
      </c>
      <c r="J28" s="42" t="s">
        <v>26</v>
      </c>
      <c r="K28" s="48">
        <f t="shared" ref="K28:L28" si="29">K25/K26</f>
        <v>0.9632960854</v>
      </c>
      <c r="L28" s="48">
        <f t="shared" si="29"/>
        <v>0.8720674705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4" t="s">
        <v>27</v>
      </c>
      <c r="B29" s="35">
        <v>13.0</v>
      </c>
      <c r="C29" s="45">
        <v>159280.0</v>
      </c>
      <c r="D29" s="45">
        <v>320238.0</v>
      </c>
      <c r="E29" s="47">
        <f t="shared" si="20"/>
        <v>479518</v>
      </c>
      <c r="F29" s="46">
        <v>123.0</v>
      </c>
      <c r="G29" s="46">
        <v>252.0</v>
      </c>
      <c r="H29" s="45">
        <f t="shared" ref="H29:I29" si="30">C29/F29</f>
        <v>1294.95935</v>
      </c>
      <c r="I29" s="47">
        <f t="shared" si="30"/>
        <v>1270.785714</v>
      </c>
      <c r="J29" s="42" t="s">
        <v>28</v>
      </c>
      <c r="K29" s="48">
        <f t="shared" ref="K29:L29" si="31">1-K25/K26</f>
        <v>0.03670391463</v>
      </c>
      <c r="L29" s="48">
        <f t="shared" si="31"/>
        <v>0.1279325295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0"/>
      <c r="B30" s="49" t="s">
        <v>29</v>
      </c>
      <c r="C30" s="50">
        <f t="shared" ref="C30:G30" si="32">SUM(C23:C29)</f>
        <v>1175231</v>
      </c>
      <c r="D30" s="50">
        <f t="shared" si="32"/>
        <v>1980653</v>
      </c>
      <c r="E30" s="50">
        <f t="shared" si="32"/>
        <v>3155884</v>
      </c>
      <c r="F30" s="57">
        <f t="shared" si="32"/>
        <v>862</v>
      </c>
      <c r="G30" s="57">
        <f t="shared" si="32"/>
        <v>1575</v>
      </c>
      <c r="H30" s="50">
        <f t="shared" ref="H30:I30" si="33">C30/F30</f>
        <v>1363.37703</v>
      </c>
      <c r="I30" s="51">
        <f t="shared" si="33"/>
        <v>1257.55746</v>
      </c>
      <c r="J30" s="172"/>
      <c r="K30" s="53"/>
      <c r="L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2" t="s">
        <v>18</v>
      </c>
      <c r="B31" s="35">
        <v>14.0</v>
      </c>
      <c r="C31" s="36">
        <v>146630.0</v>
      </c>
      <c r="D31" s="36">
        <v>262607.0</v>
      </c>
      <c r="E31" s="36">
        <f t="shared" ref="E31:E37" si="35">SUM(C31:D31)</f>
        <v>409237</v>
      </c>
      <c r="F31" s="37">
        <v>87.0</v>
      </c>
      <c r="G31" s="37">
        <v>219.0</v>
      </c>
      <c r="H31" s="36">
        <f t="shared" ref="H31:I31" si="34">C31/F31</f>
        <v>1685.402299</v>
      </c>
      <c r="I31" s="38">
        <f t="shared" si="34"/>
        <v>1199.118721</v>
      </c>
      <c r="J31" s="54"/>
      <c r="K31" s="52"/>
      <c r="L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2" t="s">
        <v>19</v>
      </c>
      <c r="B32" s="35">
        <v>15.0</v>
      </c>
      <c r="C32" s="36">
        <v>121126.0</v>
      </c>
      <c r="D32" s="36">
        <v>262096.0</v>
      </c>
      <c r="E32" s="36">
        <f t="shared" si="35"/>
        <v>383222</v>
      </c>
      <c r="F32" s="37">
        <v>89.0</v>
      </c>
      <c r="G32" s="37">
        <v>228.0</v>
      </c>
      <c r="H32" s="36">
        <f t="shared" ref="H32:I32" si="36">C32/F32</f>
        <v>1360.966292</v>
      </c>
      <c r="I32" s="38">
        <f t="shared" si="36"/>
        <v>1149.54386</v>
      </c>
      <c r="J32" s="197"/>
      <c r="K32" s="56" t="s">
        <v>15</v>
      </c>
      <c r="L32" s="32" t="s">
        <v>16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2" t="s">
        <v>20</v>
      </c>
      <c r="B33" s="35">
        <v>16.0</v>
      </c>
      <c r="C33" s="36">
        <v>140192.0</v>
      </c>
      <c r="D33" s="36">
        <v>293417.0</v>
      </c>
      <c r="E33" s="36">
        <f t="shared" si="35"/>
        <v>433609</v>
      </c>
      <c r="F33" s="37">
        <v>116.0</v>
      </c>
      <c r="G33" s="37">
        <v>271.0</v>
      </c>
      <c r="H33" s="36">
        <f t="shared" ref="H33:I33" si="37">C33/F33</f>
        <v>1208.551724</v>
      </c>
      <c r="I33" s="38">
        <f t="shared" si="37"/>
        <v>1082.719557</v>
      </c>
      <c r="J33" s="42" t="s">
        <v>21</v>
      </c>
      <c r="K33" s="36">
        <f t="shared" ref="K33:L33" si="38">SUM(C31:C34)</f>
        <v>561992</v>
      </c>
      <c r="L33" s="36">
        <f t="shared" si="38"/>
        <v>1055709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2" t="s">
        <v>22</v>
      </c>
      <c r="B34" s="35">
        <v>17.0</v>
      </c>
      <c r="C34" s="36">
        <v>154044.0</v>
      </c>
      <c r="D34" s="36">
        <v>237589.0</v>
      </c>
      <c r="E34" s="36">
        <f t="shared" si="35"/>
        <v>391633</v>
      </c>
      <c r="F34" s="37">
        <v>107.0</v>
      </c>
      <c r="G34" s="37">
        <v>222.0</v>
      </c>
      <c r="H34" s="36">
        <f t="shared" ref="H34:I34" si="39">C34/F34</f>
        <v>1439.663551</v>
      </c>
      <c r="I34" s="38">
        <f t="shared" si="39"/>
        <v>1070.220721</v>
      </c>
      <c r="J34" s="56" t="s">
        <v>23</v>
      </c>
      <c r="K34" s="36">
        <f t="shared" ref="K34:L34" si="40">SUM(C35:C37)</f>
        <v>547550</v>
      </c>
      <c r="L34" s="36">
        <f t="shared" si="40"/>
        <v>935951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4" t="s">
        <v>24</v>
      </c>
      <c r="B35" s="35">
        <v>18.0</v>
      </c>
      <c r="C35" s="45">
        <v>189195.0</v>
      </c>
      <c r="D35" s="45">
        <v>307397.0</v>
      </c>
      <c r="E35" s="47">
        <f t="shared" si="35"/>
        <v>496592</v>
      </c>
      <c r="F35" s="46">
        <v>129.0</v>
      </c>
      <c r="G35" s="46">
        <v>246.0</v>
      </c>
      <c r="H35" s="45">
        <f t="shared" ref="H35:I35" si="41">C35/F35</f>
        <v>1466.627907</v>
      </c>
      <c r="I35" s="47">
        <f t="shared" si="41"/>
        <v>1249.581301</v>
      </c>
      <c r="J35" s="56" t="s">
        <v>17</v>
      </c>
      <c r="K35" s="36">
        <f t="shared" ref="K35:L35" si="42">SUM(K33:K34)</f>
        <v>1109542</v>
      </c>
      <c r="L35" s="36">
        <f t="shared" si="42"/>
        <v>1991660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4" t="s">
        <v>25</v>
      </c>
      <c r="B36" s="35">
        <v>19.0</v>
      </c>
      <c r="C36" s="45">
        <v>223261.0</v>
      </c>
      <c r="D36" s="45">
        <v>316574.0</v>
      </c>
      <c r="E36" s="47">
        <f t="shared" si="35"/>
        <v>539835</v>
      </c>
      <c r="F36" s="46">
        <v>156.0</v>
      </c>
      <c r="G36" s="46">
        <v>233.0</v>
      </c>
      <c r="H36" s="45">
        <f t="shared" ref="H36:I36" si="43">C36/F36</f>
        <v>1431.160256</v>
      </c>
      <c r="I36" s="47">
        <f t="shared" si="43"/>
        <v>1358.686695</v>
      </c>
      <c r="J36" s="42" t="s">
        <v>26</v>
      </c>
      <c r="K36" s="48">
        <f t="shared" ref="K36:L36" si="44">K33/K34</f>
        <v>1.026375673</v>
      </c>
      <c r="L36" s="48">
        <f t="shared" si="44"/>
        <v>1.12795328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4" t="s">
        <v>27</v>
      </c>
      <c r="B37" s="35">
        <v>20.0</v>
      </c>
      <c r="C37" s="45">
        <v>135094.0</v>
      </c>
      <c r="D37" s="45">
        <v>311980.0</v>
      </c>
      <c r="E37" s="47">
        <f t="shared" si="35"/>
        <v>447074</v>
      </c>
      <c r="F37" s="46">
        <v>110.0</v>
      </c>
      <c r="G37" s="46">
        <v>245.0</v>
      </c>
      <c r="H37" s="45">
        <f t="shared" ref="H37:I37" si="45">C37/F37</f>
        <v>1228.127273</v>
      </c>
      <c r="I37" s="47">
        <f t="shared" si="45"/>
        <v>1273.387755</v>
      </c>
      <c r="J37" s="42" t="s">
        <v>28</v>
      </c>
      <c r="K37" s="48">
        <f t="shared" ref="K37:L37" si="46">1-K33/K34</f>
        <v>-0.02637567345</v>
      </c>
      <c r="L37" s="48">
        <f t="shared" si="46"/>
        <v>-0.1279532796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0"/>
      <c r="B38" s="49" t="s">
        <v>29</v>
      </c>
      <c r="C38" s="50">
        <f t="shared" ref="C38:G38" si="47">SUM(C31:C37)</f>
        <v>1109542</v>
      </c>
      <c r="D38" s="50">
        <f t="shared" si="47"/>
        <v>1991660</v>
      </c>
      <c r="E38" s="50">
        <f t="shared" si="47"/>
        <v>3101202</v>
      </c>
      <c r="F38" s="57">
        <f t="shared" si="47"/>
        <v>794</v>
      </c>
      <c r="G38" s="57">
        <f t="shared" si="47"/>
        <v>1664</v>
      </c>
      <c r="H38" s="50">
        <f t="shared" ref="H38:I38" si="48">C38/F38</f>
        <v>1397.40806</v>
      </c>
      <c r="I38" s="51">
        <f t="shared" si="48"/>
        <v>1196.911058</v>
      </c>
      <c r="J38" s="172"/>
      <c r="K38" s="53"/>
      <c r="L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2" t="s">
        <v>18</v>
      </c>
      <c r="B39" s="35">
        <v>21.0</v>
      </c>
      <c r="C39" s="36">
        <v>105842.0</v>
      </c>
      <c r="D39" s="36">
        <v>232597.0</v>
      </c>
      <c r="E39" s="38">
        <f t="shared" ref="E39:E45" si="50">SUM(C39:D39)</f>
        <v>338439</v>
      </c>
      <c r="F39" s="37">
        <v>80.0</v>
      </c>
      <c r="G39" s="37">
        <v>194.0</v>
      </c>
      <c r="H39" s="36">
        <f t="shared" ref="H39:I39" si="49">C39/F39</f>
        <v>1323.025</v>
      </c>
      <c r="I39" s="38">
        <f t="shared" si="49"/>
        <v>1198.953608</v>
      </c>
      <c r="J39" s="54"/>
      <c r="K39" s="52"/>
      <c r="L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2" t="s">
        <v>19</v>
      </c>
      <c r="B40" s="35">
        <v>22.0</v>
      </c>
      <c r="C40" s="36">
        <v>100356.0</v>
      </c>
      <c r="D40" s="36">
        <v>219321.0</v>
      </c>
      <c r="E40" s="38">
        <f t="shared" si="50"/>
        <v>319677</v>
      </c>
      <c r="F40" s="37">
        <v>66.0</v>
      </c>
      <c r="G40" s="37">
        <v>188.0</v>
      </c>
      <c r="H40" s="36">
        <f t="shared" ref="H40:I40" si="51">C40/F40</f>
        <v>1520.545455</v>
      </c>
      <c r="I40" s="38">
        <f t="shared" si="51"/>
        <v>1166.601064</v>
      </c>
      <c r="J40" s="197"/>
      <c r="K40" s="56" t="s">
        <v>15</v>
      </c>
      <c r="L40" s="32" t="s">
        <v>16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2" t="s">
        <v>20</v>
      </c>
      <c r="B41" s="35">
        <v>23.0</v>
      </c>
      <c r="C41" s="198">
        <v>118268.0</v>
      </c>
      <c r="D41" s="198">
        <v>220050.0</v>
      </c>
      <c r="E41" s="38">
        <f t="shared" si="50"/>
        <v>338318</v>
      </c>
      <c r="F41" s="199">
        <v>98.0</v>
      </c>
      <c r="G41" s="199">
        <v>195.0</v>
      </c>
      <c r="H41" s="36">
        <f t="shared" ref="H41:I41" si="52">C41/F41</f>
        <v>1206.816327</v>
      </c>
      <c r="I41" s="38">
        <f t="shared" si="52"/>
        <v>1128.461538</v>
      </c>
      <c r="J41" s="42" t="s">
        <v>21</v>
      </c>
      <c r="K41" s="36">
        <f t="shared" ref="K41:L41" si="53">SUM(C39:C42)</f>
        <v>455711</v>
      </c>
      <c r="L41" s="36">
        <f t="shared" si="53"/>
        <v>901156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2" t="s">
        <v>22</v>
      </c>
      <c r="B42" s="35">
        <v>24.0</v>
      </c>
      <c r="C42" s="198">
        <v>131245.0</v>
      </c>
      <c r="D42" s="198">
        <v>229188.0</v>
      </c>
      <c r="E42" s="36">
        <f t="shared" si="50"/>
        <v>360433</v>
      </c>
      <c r="F42" s="199">
        <v>99.0</v>
      </c>
      <c r="G42" s="199">
        <v>191.0</v>
      </c>
      <c r="H42" s="36">
        <f t="shared" ref="H42:I42" si="54">C42/F42</f>
        <v>1325.707071</v>
      </c>
      <c r="I42" s="38">
        <f t="shared" si="54"/>
        <v>1199.937173</v>
      </c>
      <c r="J42" s="56" t="s">
        <v>23</v>
      </c>
      <c r="K42" s="36">
        <f t="shared" ref="K42:L42" si="55">SUM(C43:C45)</f>
        <v>518224</v>
      </c>
      <c r="L42" s="36">
        <f t="shared" si="55"/>
        <v>898634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4" t="s">
        <v>24</v>
      </c>
      <c r="B43" s="35">
        <v>25.0</v>
      </c>
      <c r="C43" s="200">
        <v>188781.0</v>
      </c>
      <c r="D43" s="200">
        <v>310007.0</v>
      </c>
      <c r="E43" s="45">
        <f t="shared" si="50"/>
        <v>498788</v>
      </c>
      <c r="F43" s="201">
        <v>124.0</v>
      </c>
      <c r="G43" s="201">
        <v>242.0</v>
      </c>
      <c r="H43" s="45">
        <f t="shared" ref="H43:I43" si="56">C43/F43</f>
        <v>1522.427419</v>
      </c>
      <c r="I43" s="47">
        <f t="shared" si="56"/>
        <v>1281.020661</v>
      </c>
      <c r="J43" s="56" t="s">
        <v>17</v>
      </c>
      <c r="K43" s="36">
        <f t="shared" ref="K43:L43" si="57">SUM(K41:K42)</f>
        <v>973935</v>
      </c>
      <c r="L43" s="36">
        <f t="shared" si="57"/>
        <v>1799790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4" t="s">
        <v>25</v>
      </c>
      <c r="B44" s="35">
        <v>26.0</v>
      </c>
      <c r="C44" s="200">
        <v>195344.0</v>
      </c>
      <c r="D44" s="200">
        <v>335015.0</v>
      </c>
      <c r="E44" s="45">
        <f t="shared" si="50"/>
        <v>530359</v>
      </c>
      <c r="F44" s="201">
        <v>140.0</v>
      </c>
      <c r="G44" s="201">
        <v>243.0</v>
      </c>
      <c r="H44" s="45">
        <f t="shared" ref="H44:I44" si="58">C44/F44</f>
        <v>1395.314286</v>
      </c>
      <c r="I44" s="47">
        <f t="shared" si="58"/>
        <v>1378.662551</v>
      </c>
      <c r="J44" s="42" t="s">
        <v>26</v>
      </c>
      <c r="K44" s="48">
        <f t="shared" ref="K44:L44" si="59">K41/K42</f>
        <v>0.8793706968</v>
      </c>
      <c r="L44" s="48">
        <f t="shared" si="59"/>
        <v>1.002806482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4" t="s">
        <v>27</v>
      </c>
      <c r="B45" s="35">
        <v>27.0</v>
      </c>
      <c r="C45" s="200">
        <v>134099.0</v>
      </c>
      <c r="D45" s="200">
        <v>253612.0</v>
      </c>
      <c r="E45" s="47">
        <f t="shared" si="50"/>
        <v>387711</v>
      </c>
      <c r="F45" s="201">
        <v>108.0</v>
      </c>
      <c r="G45" s="201">
        <v>196.0</v>
      </c>
      <c r="H45" s="45">
        <f t="shared" ref="H45:I45" si="60">C45/F45</f>
        <v>1241.657407</v>
      </c>
      <c r="I45" s="47">
        <f t="shared" si="60"/>
        <v>1293.938776</v>
      </c>
      <c r="J45" s="42" t="s">
        <v>28</v>
      </c>
      <c r="K45" s="48">
        <f t="shared" ref="K45:L45" si="61">1-K41/K42</f>
        <v>0.1206293032</v>
      </c>
      <c r="L45" s="48">
        <f t="shared" si="61"/>
        <v>-0.002806481838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0"/>
      <c r="B46" s="49" t="s">
        <v>29</v>
      </c>
      <c r="C46" s="50">
        <f t="shared" ref="C46:G46" si="62">SUM(C39:C45)</f>
        <v>973935</v>
      </c>
      <c r="D46" s="50">
        <f t="shared" si="62"/>
        <v>1799790</v>
      </c>
      <c r="E46" s="50">
        <f t="shared" si="62"/>
        <v>2773725</v>
      </c>
      <c r="F46" s="57">
        <f t="shared" si="62"/>
        <v>715</v>
      </c>
      <c r="G46" s="57">
        <f t="shared" si="62"/>
        <v>1449</v>
      </c>
      <c r="H46" s="50">
        <f t="shared" ref="H46:I46" si="63">C46/F46</f>
        <v>1362.146853</v>
      </c>
      <c r="I46" s="51">
        <f t="shared" si="63"/>
        <v>1242.091097</v>
      </c>
      <c r="J46" s="172"/>
      <c r="K46" s="53"/>
      <c r="L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2" t="s">
        <v>18</v>
      </c>
      <c r="B47" s="202">
        <v>28.0</v>
      </c>
      <c r="C47" s="198">
        <v>121652.0</v>
      </c>
      <c r="D47" s="198">
        <v>215530.0</v>
      </c>
      <c r="E47" s="38">
        <f t="shared" ref="E47:E48" si="65">SUM(C47:D47)</f>
        <v>337182</v>
      </c>
      <c r="F47" s="199">
        <v>87.0</v>
      </c>
      <c r="G47" s="199">
        <v>159.0</v>
      </c>
      <c r="H47" s="36">
        <f t="shared" ref="H47:I47" si="64">C47/F47</f>
        <v>1398.298851</v>
      </c>
      <c r="I47" s="38">
        <f t="shared" si="64"/>
        <v>1355.534591</v>
      </c>
      <c r="J47" s="54"/>
      <c r="K47" s="52"/>
      <c r="L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2" t="s">
        <v>19</v>
      </c>
      <c r="B48" s="202">
        <v>29.0</v>
      </c>
      <c r="C48" s="198">
        <v>132451.0</v>
      </c>
      <c r="D48" s="198">
        <v>225699.0</v>
      </c>
      <c r="E48" s="38">
        <f t="shared" si="65"/>
        <v>358150</v>
      </c>
      <c r="F48" s="199">
        <v>91.0</v>
      </c>
      <c r="G48" s="199">
        <v>188.0</v>
      </c>
      <c r="H48" s="36">
        <f t="shared" ref="H48:I48" si="66">C48/F48</f>
        <v>1455.505495</v>
      </c>
      <c r="I48" s="38">
        <f t="shared" si="66"/>
        <v>1200.526596</v>
      </c>
      <c r="J48" s="54"/>
      <c r="K48" s="52"/>
      <c r="L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2" t="s">
        <v>20</v>
      </c>
      <c r="B49" s="202">
        <v>30.0</v>
      </c>
      <c r="C49" s="63"/>
      <c r="D49" s="63"/>
      <c r="E49" s="203"/>
      <c r="F49" s="62"/>
      <c r="G49" s="62"/>
      <c r="H49" s="63"/>
      <c r="I49" s="203"/>
      <c r="J49" s="172"/>
      <c r="K49" s="53"/>
      <c r="L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2" t="s">
        <v>22</v>
      </c>
      <c r="B50" s="202">
        <v>31.0</v>
      </c>
      <c r="C50" s="63"/>
      <c r="D50" s="63"/>
      <c r="E50" s="203"/>
      <c r="F50" s="62"/>
      <c r="G50" s="62"/>
      <c r="H50" s="63"/>
      <c r="I50" s="203"/>
      <c r="J50" s="54"/>
      <c r="K50" s="52"/>
      <c r="L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0"/>
      <c r="B51" s="173" t="s">
        <v>29</v>
      </c>
      <c r="C51" s="50">
        <f t="shared" ref="C51:G51" si="67">SUM(C47)</f>
        <v>121652</v>
      </c>
      <c r="D51" s="50">
        <f t="shared" si="67"/>
        <v>215530</v>
      </c>
      <c r="E51" s="50">
        <f t="shared" si="67"/>
        <v>337182</v>
      </c>
      <c r="F51" s="57">
        <f t="shared" si="67"/>
        <v>87</v>
      </c>
      <c r="G51" s="57">
        <f t="shared" si="67"/>
        <v>159</v>
      </c>
      <c r="H51" s="50">
        <f t="shared" ref="H51:I51" si="68">C51/F51</f>
        <v>1398.298851</v>
      </c>
      <c r="I51" s="51">
        <f t="shared" si="68"/>
        <v>1355.534591</v>
      </c>
      <c r="J51" s="54"/>
      <c r="K51" s="52"/>
      <c r="L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/>
      <c r="B52" s="42" t="s">
        <v>29</v>
      </c>
      <c r="C52" s="36">
        <f t="shared" ref="C52:G52" si="69">SUM(C51,C46,C22,C30,C38)</f>
        <v>4433354</v>
      </c>
      <c r="D52" s="36">
        <f t="shared" si="69"/>
        <v>7769139</v>
      </c>
      <c r="E52" s="36">
        <f t="shared" si="69"/>
        <v>12202493</v>
      </c>
      <c r="F52" s="36">
        <f t="shared" si="69"/>
        <v>3222</v>
      </c>
      <c r="G52" s="36">
        <f t="shared" si="69"/>
        <v>6275</v>
      </c>
      <c r="H52" s="36">
        <f t="shared" ref="H52:I52" si="70">C52/F52</f>
        <v>1375.963377</v>
      </c>
      <c r="I52" s="38">
        <f t="shared" si="70"/>
        <v>1238.109801</v>
      </c>
      <c r="J52" s="64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/>
      <c r="B53" s="42" t="s">
        <v>31</v>
      </c>
      <c r="C53" s="36">
        <v>4230000.0</v>
      </c>
      <c r="D53" s="36">
        <v>8280000.0</v>
      </c>
      <c r="E53" s="36">
        <f>SUM(C53:D53)</f>
        <v>12510000</v>
      </c>
      <c r="F53" s="62"/>
      <c r="G53" s="62"/>
      <c r="H53" s="63"/>
      <c r="I53" s="63"/>
      <c r="J53" s="1"/>
      <c r="K53" s="1"/>
      <c r="L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0"/>
      <c r="B54" s="56" t="s">
        <v>32</v>
      </c>
      <c r="C54" s="65">
        <f t="shared" ref="C54:E54" si="71">C52/C53</f>
        <v>1.048074232</v>
      </c>
      <c r="D54" s="65">
        <f t="shared" si="71"/>
        <v>0.9383018116</v>
      </c>
      <c r="E54" s="65">
        <f t="shared" si="71"/>
        <v>0.9754191047</v>
      </c>
      <c r="F54" s="62"/>
      <c r="G54" s="62"/>
      <c r="H54" s="66"/>
      <c r="I54" s="66"/>
      <c r="J54" s="1"/>
      <c r="K54" s="1"/>
      <c r="L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0"/>
      <c r="B55" s="42" t="s">
        <v>33</v>
      </c>
      <c r="C55" s="36">
        <f t="shared" ref="C55:D55" si="72">C52/(C72+C73+C74+C75+C76)</f>
        <v>21947.29703</v>
      </c>
      <c r="D55" s="36">
        <f t="shared" si="72"/>
        <v>26247.09122</v>
      </c>
      <c r="E55" s="36">
        <f>E52/(D72+D73+D74+D75+D76)</f>
        <v>41224.63851</v>
      </c>
      <c r="F55" s="62"/>
      <c r="G55" s="62"/>
      <c r="H55" s="63"/>
      <c r="I55" s="63"/>
      <c r="J55" s="1"/>
      <c r="K55" s="1"/>
      <c r="L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/>
      <c r="B56" s="5"/>
      <c r="C56" s="67"/>
      <c r="D56" s="67"/>
      <c r="E56" s="6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34</v>
      </c>
      <c r="B57" s="3"/>
      <c r="C57" s="3"/>
      <c r="D57" s="3"/>
      <c r="E57" s="3"/>
      <c r="F57" s="3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/>
      <c r="B58" s="7"/>
      <c r="C58" s="7"/>
      <c r="D58" s="7"/>
      <c r="E58" s="7"/>
      <c r="F58" s="7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1</v>
      </c>
      <c r="B59" s="10" t="s">
        <v>402</v>
      </c>
      <c r="C59" s="10" t="s">
        <v>403</v>
      </c>
      <c r="D59" s="10" t="s">
        <v>404</v>
      </c>
      <c r="E59" s="10" t="s">
        <v>405</v>
      </c>
      <c r="F59" s="10" t="s">
        <v>406</v>
      </c>
      <c r="G59" s="10" t="s">
        <v>407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8</v>
      </c>
      <c r="B60" s="11">
        <v>3610000.0</v>
      </c>
      <c r="C60" s="12">
        <v>3720000.0</v>
      </c>
      <c r="D60" s="11">
        <v>4230000.0</v>
      </c>
      <c r="E60" s="12">
        <v>3662233.0</v>
      </c>
      <c r="F60" s="15">
        <f t="shared" ref="F60:F61" si="73">C60/B60</f>
        <v>1.030470914</v>
      </c>
      <c r="G60" s="16">
        <f t="shared" ref="G60:G61" si="74">E60/D60</f>
        <v>0.8657761229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 t="s">
        <v>9</v>
      </c>
      <c r="B61" s="11">
        <v>7890000.0</v>
      </c>
      <c r="C61" s="12">
        <v>7600000.0</v>
      </c>
      <c r="D61" s="11">
        <v>8280000.0</v>
      </c>
      <c r="E61" s="12">
        <v>6425787.0</v>
      </c>
      <c r="F61" s="15">
        <f t="shared" si="73"/>
        <v>0.9632446134</v>
      </c>
      <c r="G61" s="16">
        <f t="shared" si="74"/>
        <v>0.7760612319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0" t="s">
        <v>1</v>
      </c>
      <c r="B63" s="71" t="s">
        <v>41</v>
      </c>
      <c r="C63" s="71" t="s">
        <v>42</v>
      </c>
      <c r="D63" s="1"/>
      <c r="E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0" t="s">
        <v>8</v>
      </c>
      <c r="B64" s="72">
        <f t="shared" ref="B64:C64" si="75">(D60-B60)/B60</f>
        <v>0.1717451524</v>
      </c>
      <c r="C64" s="72">
        <f t="shared" si="75"/>
        <v>-0.01552876344</v>
      </c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0" t="s">
        <v>9</v>
      </c>
      <c r="B65" s="72">
        <f t="shared" ref="B65:C65" si="76">(D61-B61)/B61</f>
        <v>0.04942965779</v>
      </c>
      <c r="C65" s="72">
        <f t="shared" si="76"/>
        <v>-0.1545017105</v>
      </c>
      <c r="D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2"/>
      <c r="D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3" t="s">
        <v>43</v>
      </c>
      <c r="B67" s="27"/>
      <c r="C67" s="27"/>
      <c r="D67" s="28"/>
      <c r="E67" s="5"/>
      <c r="F67" s="7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5"/>
      <c r="B68" s="43" t="s">
        <v>15</v>
      </c>
      <c r="C68" s="32" t="s">
        <v>16</v>
      </c>
      <c r="D68" s="32" t="s">
        <v>17</v>
      </c>
      <c r="E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5">
        <v>1.0</v>
      </c>
      <c r="B69" s="204">
        <v>5.0</v>
      </c>
      <c r="C69" s="37">
        <v>15.0</v>
      </c>
      <c r="D69" s="37">
        <f t="shared" ref="D69:D74" si="77">SUM(B69:C69)</f>
        <v>20</v>
      </c>
      <c r="E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5">
        <v>2.0</v>
      </c>
      <c r="B70" s="37">
        <v>8.0</v>
      </c>
      <c r="C70" s="37">
        <v>22.0</v>
      </c>
      <c r="D70" s="37">
        <f t="shared" si="77"/>
        <v>30</v>
      </c>
      <c r="E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5">
        <v>3.0</v>
      </c>
      <c r="B71" s="204">
        <v>4.0</v>
      </c>
      <c r="C71" s="37">
        <v>17.0</v>
      </c>
      <c r="D71" s="37">
        <f t="shared" si="77"/>
        <v>21</v>
      </c>
      <c r="E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5">
        <v>4.0</v>
      </c>
      <c r="B72" s="46">
        <v>15.0</v>
      </c>
      <c r="C72" s="46">
        <v>24.0</v>
      </c>
      <c r="D72" s="46">
        <f t="shared" si="77"/>
        <v>39</v>
      </c>
      <c r="E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5">
        <v>5.0</v>
      </c>
      <c r="B73" s="46">
        <v>12.0</v>
      </c>
      <c r="C73" s="46">
        <v>22.0</v>
      </c>
      <c r="D73" s="46">
        <f t="shared" si="77"/>
        <v>34</v>
      </c>
      <c r="E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5">
        <v>6.0</v>
      </c>
      <c r="B74" s="46">
        <v>9.0</v>
      </c>
      <c r="C74" s="46">
        <v>23.0</v>
      </c>
      <c r="D74" s="46">
        <f t="shared" si="77"/>
        <v>32</v>
      </c>
      <c r="E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9" t="s">
        <v>29</v>
      </c>
      <c r="B75" s="57">
        <f t="shared" ref="B75:D75" si="78">SUM(B69:B74)</f>
        <v>53</v>
      </c>
      <c r="C75" s="57">
        <f t="shared" si="78"/>
        <v>123</v>
      </c>
      <c r="D75" s="57">
        <f t="shared" si="78"/>
        <v>176</v>
      </c>
      <c r="E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5">
        <v>7.0</v>
      </c>
      <c r="B76" s="37">
        <v>5.0</v>
      </c>
      <c r="C76" s="37">
        <v>10.0</v>
      </c>
      <c r="D76" s="37">
        <f t="shared" ref="D76:D82" si="79">SUM(B76:C76)</f>
        <v>15</v>
      </c>
      <c r="E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5">
        <v>8.0</v>
      </c>
      <c r="B77" s="37">
        <v>18.0</v>
      </c>
      <c r="C77" s="37">
        <v>13.0</v>
      </c>
      <c r="D77" s="37">
        <f t="shared" si="79"/>
        <v>31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5">
        <v>9.0</v>
      </c>
      <c r="B78" s="37">
        <v>10.0</v>
      </c>
      <c r="C78" s="37">
        <v>13.0</v>
      </c>
      <c r="D78" s="37">
        <f t="shared" si="79"/>
        <v>23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5">
        <v>10.0</v>
      </c>
      <c r="B79" s="46">
        <v>6.0</v>
      </c>
      <c r="C79" s="46">
        <v>15.0</v>
      </c>
      <c r="D79" s="46">
        <f t="shared" si="79"/>
        <v>21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5">
        <v>11.0</v>
      </c>
      <c r="B80" s="46">
        <v>13.0</v>
      </c>
      <c r="C80" s="46">
        <v>16.0</v>
      </c>
      <c r="D80" s="46">
        <f t="shared" si="79"/>
        <v>29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5">
        <v>12.0</v>
      </c>
      <c r="B81" s="46">
        <v>15.0</v>
      </c>
      <c r="C81" s="46">
        <v>25.0</v>
      </c>
      <c r="D81" s="46">
        <f t="shared" si="79"/>
        <v>40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5">
        <v>13.0</v>
      </c>
      <c r="B82" s="46">
        <v>10.0</v>
      </c>
      <c r="C82" s="46">
        <v>21.0</v>
      </c>
      <c r="D82" s="46">
        <f t="shared" si="79"/>
        <v>31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9" t="s">
        <v>29</v>
      </c>
      <c r="B83" s="57">
        <f t="shared" ref="B83:D83" si="80">SUM(B76:B82)</f>
        <v>77</v>
      </c>
      <c r="C83" s="57">
        <f t="shared" si="80"/>
        <v>113</v>
      </c>
      <c r="D83" s="57">
        <f t="shared" si="80"/>
        <v>190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5">
        <v>14.0</v>
      </c>
      <c r="B84" s="37">
        <v>9.0</v>
      </c>
      <c r="C84" s="37">
        <v>19.0</v>
      </c>
      <c r="D84" s="37">
        <f t="shared" ref="D84:D90" si="81">SUM(B84:C84)</f>
        <v>28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5">
        <v>15.0</v>
      </c>
      <c r="B85" s="37">
        <v>6.0</v>
      </c>
      <c r="C85" s="37">
        <v>17.0</v>
      </c>
      <c r="D85" s="37">
        <f t="shared" si="81"/>
        <v>23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5">
        <v>16.0</v>
      </c>
      <c r="B86" s="37">
        <v>10.0</v>
      </c>
      <c r="C86" s="37">
        <v>24.0</v>
      </c>
      <c r="D86" s="37">
        <f t="shared" si="81"/>
        <v>34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5">
        <v>17.0</v>
      </c>
      <c r="B87" s="37">
        <v>7.0</v>
      </c>
      <c r="C87" s="37">
        <v>18.0</v>
      </c>
      <c r="D87" s="37">
        <f t="shared" si="81"/>
        <v>25</v>
      </c>
    </row>
    <row r="88">
      <c r="A88" s="35">
        <v>18.0</v>
      </c>
      <c r="B88" s="46">
        <v>14.0</v>
      </c>
      <c r="C88" s="46">
        <v>24.0</v>
      </c>
      <c r="D88" s="46">
        <f t="shared" si="81"/>
        <v>38</v>
      </c>
    </row>
    <row r="89">
      <c r="A89" s="35">
        <v>19.0</v>
      </c>
      <c r="B89" s="46">
        <v>10.0</v>
      </c>
      <c r="C89" s="46">
        <v>23.0</v>
      </c>
      <c r="D89" s="46">
        <f t="shared" si="81"/>
        <v>33</v>
      </c>
    </row>
    <row r="90">
      <c r="A90" s="35">
        <v>20.0</v>
      </c>
      <c r="B90" s="46">
        <v>7.0</v>
      </c>
      <c r="C90" s="46">
        <v>35.0</v>
      </c>
      <c r="D90" s="46">
        <f t="shared" si="81"/>
        <v>42</v>
      </c>
    </row>
    <row r="91">
      <c r="A91" s="49" t="s">
        <v>29</v>
      </c>
      <c r="B91" s="57">
        <f t="shared" ref="B91:D91" si="82">SUM(B84:B90)</f>
        <v>63</v>
      </c>
      <c r="C91" s="57">
        <f t="shared" si="82"/>
        <v>160</v>
      </c>
      <c r="D91" s="57">
        <f t="shared" si="82"/>
        <v>223</v>
      </c>
    </row>
    <row r="92">
      <c r="A92" s="35">
        <v>21.0</v>
      </c>
      <c r="B92" s="37">
        <v>5.0</v>
      </c>
      <c r="C92" s="37">
        <v>25.0</v>
      </c>
      <c r="D92" s="37">
        <f t="shared" ref="D92:D98" si="83">SUM(B92:C92)</f>
        <v>30</v>
      </c>
    </row>
    <row r="93">
      <c r="A93" s="35">
        <v>22.0</v>
      </c>
      <c r="B93" s="37">
        <v>4.0</v>
      </c>
      <c r="C93" s="37">
        <v>14.0</v>
      </c>
      <c r="D93" s="37">
        <f t="shared" si="83"/>
        <v>18</v>
      </c>
    </row>
    <row r="94">
      <c r="A94" s="35">
        <v>23.0</v>
      </c>
      <c r="B94" s="199">
        <v>8.0</v>
      </c>
      <c r="C94" s="199">
        <v>24.0</v>
      </c>
      <c r="D94" s="37">
        <f t="shared" si="83"/>
        <v>32</v>
      </c>
    </row>
    <row r="95">
      <c r="A95" s="35">
        <v>24.0</v>
      </c>
      <c r="B95" s="199">
        <v>6.0</v>
      </c>
      <c r="C95" s="199">
        <v>15.0</v>
      </c>
      <c r="D95" s="37">
        <f t="shared" si="83"/>
        <v>21</v>
      </c>
    </row>
    <row r="96">
      <c r="A96" s="35">
        <v>25.0</v>
      </c>
      <c r="B96" s="201">
        <v>16.0</v>
      </c>
      <c r="C96" s="201">
        <v>16.0</v>
      </c>
      <c r="D96" s="46">
        <f t="shared" si="83"/>
        <v>32</v>
      </c>
    </row>
    <row r="97">
      <c r="A97" s="35">
        <v>26.0</v>
      </c>
      <c r="B97" s="201">
        <v>16.0</v>
      </c>
      <c r="C97" s="201">
        <v>29.0</v>
      </c>
      <c r="D97" s="46">
        <f t="shared" si="83"/>
        <v>45</v>
      </c>
    </row>
    <row r="98">
      <c r="A98" s="35">
        <v>27.0</v>
      </c>
      <c r="B98" s="201">
        <v>10.0</v>
      </c>
      <c r="C98" s="201">
        <v>25.0</v>
      </c>
      <c r="D98" s="46">
        <f t="shared" si="83"/>
        <v>35</v>
      </c>
    </row>
    <row r="99">
      <c r="A99" s="49" t="s">
        <v>29</v>
      </c>
      <c r="B99" s="57">
        <f t="shared" ref="B99:D99" si="84">SUM(B92:B98)</f>
        <v>65</v>
      </c>
      <c r="C99" s="57">
        <f t="shared" si="84"/>
        <v>148</v>
      </c>
      <c r="D99" s="57">
        <f t="shared" si="84"/>
        <v>213</v>
      </c>
    </row>
    <row r="100">
      <c r="A100" s="35">
        <v>28.0</v>
      </c>
      <c r="B100" s="199">
        <v>7.0</v>
      </c>
      <c r="C100" s="199">
        <v>20.0</v>
      </c>
      <c r="D100" s="37">
        <f t="shared" ref="D100:D102" si="85">SUM(B100:C100)</f>
        <v>27</v>
      </c>
    </row>
    <row r="101">
      <c r="A101" s="35">
        <v>29.0</v>
      </c>
      <c r="B101" s="199">
        <v>10.0</v>
      </c>
      <c r="C101" s="199">
        <v>13.0</v>
      </c>
      <c r="D101" s="37">
        <f t="shared" si="85"/>
        <v>23</v>
      </c>
    </row>
    <row r="102">
      <c r="A102" s="35">
        <v>30.0</v>
      </c>
      <c r="B102" s="62"/>
      <c r="C102" s="62"/>
      <c r="D102" s="37">
        <f t="shared" si="85"/>
        <v>0</v>
      </c>
    </row>
    <row r="103">
      <c r="A103" s="35">
        <v>31.0</v>
      </c>
      <c r="B103" s="62"/>
      <c r="C103" s="62"/>
      <c r="D103" s="62"/>
    </row>
    <row r="104">
      <c r="A104" s="175" t="s">
        <v>29</v>
      </c>
      <c r="B104" s="57">
        <f t="shared" ref="B104:D104" si="86">SUM(B100)</f>
        <v>7</v>
      </c>
      <c r="C104" s="57">
        <f t="shared" si="86"/>
        <v>20</v>
      </c>
      <c r="D104" s="57">
        <f t="shared" si="86"/>
        <v>27</v>
      </c>
    </row>
    <row r="105">
      <c r="A105" s="32" t="s">
        <v>29</v>
      </c>
      <c r="B105" s="36">
        <f t="shared" ref="B105:D105" si="87">SUM(B104,B99,B75,B83,B91)</f>
        <v>265</v>
      </c>
      <c r="C105" s="36">
        <f t="shared" si="87"/>
        <v>564</v>
      </c>
      <c r="D105" s="36">
        <f t="shared" si="87"/>
        <v>829</v>
      </c>
    </row>
    <row r="106">
      <c r="A106" s="32" t="s">
        <v>31</v>
      </c>
      <c r="B106" s="37">
        <v>310.0</v>
      </c>
      <c r="C106" s="37">
        <v>740.0</v>
      </c>
      <c r="D106" s="37">
        <f>SUM(B106:C106)</f>
        <v>1050</v>
      </c>
    </row>
    <row r="107">
      <c r="A107" s="32" t="s">
        <v>32</v>
      </c>
      <c r="B107" s="65">
        <f t="shared" ref="B107:D107" si="88">B105/B106</f>
        <v>0.8548387097</v>
      </c>
      <c r="C107" s="65">
        <f t="shared" si="88"/>
        <v>0.7621621622</v>
      </c>
      <c r="D107" s="65">
        <f t="shared" si="88"/>
        <v>0.7895238095</v>
      </c>
    </row>
    <row r="108">
      <c r="A108" s="32" t="s">
        <v>33</v>
      </c>
      <c r="B108" s="36">
        <f t="shared" ref="B108:C108" si="89">B105/(B125+B126+B127+B128+B129)</f>
        <v>0.00001569830442</v>
      </c>
      <c r="C108" s="36">
        <f t="shared" si="89"/>
        <v>-9741.332965</v>
      </c>
      <c r="D108" s="36">
        <f>D105/(C125+C126+C127+C128+C129)</f>
        <v>-14318.37771</v>
      </c>
    </row>
    <row r="109">
      <c r="A109" s="1"/>
      <c r="B109" s="76">
        <v>9.0</v>
      </c>
      <c r="C109" s="77">
        <v>24.0</v>
      </c>
      <c r="D109" s="76">
        <f>SUM(B109:C109)</f>
        <v>33</v>
      </c>
    </row>
    <row r="110">
      <c r="C110" s="78"/>
    </row>
    <row r="112">
      <c r="A112" s="79" t="s">
        <v>44</v>
      </c>
      <c r="B112" s="27"/>
      <c r="C112" s="27"/>
      <c r="D112" s="28"/>
    </row>
    <row r="113">
      <c r="A113" s="80"/>
      <c r="B113" s="81" t="s">
        <v>408</v>
      </c>
      <c r="C113" s="81" t="s">
        <v>408</v>
      </c>
      <c r="D113" s="81" t="s">
        <v>47</v>
      </c>
    </row>
    <row r="114">
      <c r="A114" s="81" t="s">
        <v>48</v>
      </c>
      <c r="B114" s="82">
        <v>1406.0</v>
      </c>
      <c r="C114" s="82">
        <v>1106.0</v>
      </c>
      <c r="D114" s="83">
        <f t="shared" ref="D114:D115" si="90">C114/B114-100%</f>
        <v>-0.213371266</v>
      </c>
    </row>
    <row r="115">
      <c r="A115" s="81" t="s">
        <v>49</v>
      </c>
      <c r="B115" s="82">
        <v>2426.0</v>
      </c>
      <c r="C115" s="82">
        <v>1596.0</v>
      </c>
      <c r="D115" s="83">
        <f t="shared" si="90"/>
        <v>-0.342126958</v>
      </c>
    </row>
    <row r="121">
      <c r="A121" s="31"/>
      <c r="B121" s="26" t="s">
        <v>12</v>
      </c>
      <c r="C121" s="27"/>
      <c r="D121" s="27"/>
      <c r="E121" s="27"/>
      <c r="F121" s="27"/>
      <c r="G121" s="28"/>
    </row>
    <row r="122">
      <c r="A122" s="31"/>
      <c r="B122" s="32" t="s">
        <v>15</v>
      </c>
      <c r="C122" s="176" t="s">
        <v>297</v>
      </c>
      <c r="D122" s="32" t="s">
        <v>16</v>
      </c>
      <c r="E122" s="176" t="s">
        <v>297</v>
      </c>
      <c r="F122" s="32" t="s">
        <v>17</v>
      </c>
      <c r="G122" s="176" t="s">
        <v>297</v>
      </c>
    </row>
    <row r="123">
      <c r="A123" s="31" t="s">
        <v>298</v>
      </c>
      <c r="B123" s="177">
        <v>4229840.0</v>
      </c>
      <c r="C123" s="91"/>
      <c r="D123" s="178">
        <v>8393877.0</v>
      </c>
      <c r="E123" s="91"/>
      <c r="F123" s="178">
        <f t="shared" ref="F123:F128" si="91">SUM(D123,B123)</f>
        <v>12623717</v>
      </c>
      <c r="G123" s="91"/>
    </row>
    <row r="124">
      <c r="A124" s="31" t="s">
        <v>299</v>
      </c>
      <c r="B124" s="177">
        <v>4168065.0</v>
      </c>
      <c r="C124" s="179">
        <f t="shared" ref="C124:C128" si="92">B124/B123-100%</f>
        <v>-0.01460457133</v>
      </c>
      <c r="D124" s="178">
        <v>7406290.0</v>
      </c>
      <c r="E124" s="179">
        <f t="shared" ref="E124:E128" si="93">D124/D123-100%</f>
        <v>-0.1176556435</v>
      </c>
      <c r="F124" s="178">
        <f t="shared" si="91"/>
        <v>11574355</v>
      </c>
      <c r="G124" s="179">
        <f t="shared" ref="G124:G128" si="94">F124/F123-100%</f>
        <v>-0.08312622978</v>
      </c>
    </row>
    <row r="125">
      <c r="A125" s="31" t="s">
        <v>300</v>
      </c>
      <c r="B125" s="177">
        <v>4581800.0</v>
      </c>
      <c r="C125" s="180">
        <f t="shared" si="92"/>
        <v>0.09926308731</v>
      </c>
      <c r="D125" s="178">
        <v>8159340.0</v>
      </c>
      <c r="E125" s="180">
        <f t="shared" si="93"/>
        <v>0.101677088</v>
      </c>
      <c r="F125" s="178">
        <f t="shared" si="91"/>
        <v>12741140</v>
      </c>
      <c r="G125" s="180">
        <f t="shared" si="94"/>
        <v>0.1008077772</v>
      </c>
    </row>
    <row r="126">
      <c r="A126" s="31" t="s">
        <v>63</v>
      </c>
      <c r="B126" s="177">
        <v>3879279.0</v>
      </c>
      <c r="C126" s="179">
        <f t="shared" si="92"/>
        <v>-0.1533286045</v>
      </c>
      <c r="D126" s="178">
        <v>7242405.0</v>
      </c>
      <c r="E126" s="179">
        <f t="shared" si="93"/>
        <v>-0.1123785747</v>
      </c>
      <c r="F126" s="178">
        <f t="shared" si="91"/>
        <v>11121684</v>
      </c>
      <c r="G126" s="179">
        <f t="shared" si="94"/>
        <v>-0.127104482</v>
      </c>
    </row>
    <row r="127">
      <c r="A127" s="31" t="s">
        <v>67</v>
      </c>
      <c r="B127" s="177">
        <v>4757492.0</v>
      </c>
      <c r="C127" s="180">
        <f t="shared" si="92"/>
        <v>0.2263856248</v>
      </c>
      <c r="D127" s="178">
        <v>8577656.0</v>
      </c>
      <c r="E127" s="180">
        <f t="shared" si="93"/>
        <v>0.1843656907</v>
      </c>
      <c r="F127" s="178">
        <f t="shared" si="91"/>
        <v>13335148</v>
      </c>
      <c r="G127" s="180">
        <f t="shared" si="94"/>
        <v>0.1990223783</v>
      </c>
    </row>
    <row r="128">
      <c r="A128" s="31" t="s">
        <v>71</v>
      </c>
      <c r="B128" s="177">
        <f>E60</f>
        <v>3662233</v>
      </c>
      <c r="C128" s="179">
        <f t="shared" si="92"/>
        <v>-0.2302177282</v>
      </c>
      <c r="D128" s="178">
        <f>E61</f>
        <v>6425787</v>
      </c>
      <c r="E128" s="179">
        <f t="shared" si="93"/>
        <v>-0.2508691186</v>
      </c>
      <c r="F128" s="178">
        <f t="shared" si="91"/>
        <v>10088020</v>
      </c>
      <c r="G128" s="179">
        <f t="shared" si="94"/>
        <v>-0.2435014595</v>
      </c>
    </row>
    <row r="133">
      <c r="A133" s="81" t="s">
        <v>87</v>
      </c>
      <c r="B133" s="81" t="s">
        <v>88</v>
      </c>
      <c r="C133" s="81" t="s">
        <v>409</v>
      </c>
      <c r="D133" s="81" t="s">
        <v>410</v>
      </c>
      <c r="E133" s="81" t="s">
        <v>411</v>
      </c>
    </row>
    <row r="134">
      <c r="A134" s="82" t="s">
        <v>119</v>
      </c>
      <c r="B134" s="82" t="s">
        <v>120</v>
      </c>
      <c r="C134" s="82">
        <v>334.0</v>
      </c>
      <c r="D134" s="82">
        <v>386.0</v>
      </c>
      <c r="E134" s="82">
        <v>407.0</v>
      </c>
    </row>
    <row r="135">
      <c r="A135" s="82" t="s">
        <v>412</v>
      </c>
      <c r="B135" s="82" t="s">
        <v>122</v>
      </c>
      <c r="C135" s="82">
        <v>225.0</v>
      </c>
      <c r="D135" s="82">
        <v>203.0</v>
      </c>
      <c r="E135" s="82">
        <v>284.0</v>
      </c>
    </row>
    <row r="136">
      <c r="A136" s="82" t="s">
        <v>112</v>
      </c>
      <c r="B136" s="82" t="s">
        <v>113</v>
      </c>
      <c r="C136" s="82">
        <v>223.0</v>
      </c>
      <c r="D136" s="82">
        <v>228.0</v>
      </c>
      <c r="E136" s="82">
        <v>0.0</v>
      </c>
    </row>
    <row r="137">
      <c r="A137" s="82" t="s">
        <v>97</v>
      </c>
      <c r="B137" s="101" t="s">
        <v>98</v>
      </c>
      <c r="C137" s="82">
        <v>89.0</v>
      </c>
      <c r="D137" s="82">
        <v>117.0</v>
      </c>
      <c r="E137" s="82">
        <v>199.0</v>
      </c>
    </row>
    <row r="138">
      <c r="A138" s="82" t="s">
        <v>413</v>
      </c>
      <c r="B138" s="82">
        <v>25073.0</v>
      </c>
      <c r="C138" s="82">
        <v>84.0</v>
      </c>
      <c r="D138" s="82">
        <v>89.0</v>
      </c>
      <c r="E138" s="82">
        <v>95.0</v>
      </c>
    </row>
    <row r="139">
      <c r="A139" s="82" t="s">
        <v>99</v>
      </c>
      <c r="B139" s="101" t="s">
        <v>100</v>
      </c>
      <c r="C139" s="82">
        <v>81.0</v>
      </c>
      <c r="D139" s="82">
        <v>64.0</v>
      </c>
      <c r="E139" s="82">
        <v>97.0</v>
      </c>
    </row>
    <row r="140">
      <c r="A140" s="82" t="s">
        <v>123</v>
      </c>
      <c r="B140" s="82" t="s">
        <v>123</v>
      </c>
      <c r="C140" s="82">
        <v>52.0</v>
      </c>
      <c r="D140" s="82">
        <v>36.0</v>
      </c>
      <c r="E140" s="82">
        <v>0.0</v>
      </c>
    </row>
    <row r="141">
      <c r="A141" s="82" t="s">
        <v>102</v>
      </c>
      <c r="B141" s="82" t="s">
        <v>103</v>
      </c>
      <c r="C141" s="82">
        <v>42.0</v>
      </c>
      <c r="D141" s="82">
        <v>54.0</v>
      </c>
      <c r="E141" s="82">
        <v>80.0</v>
      </c>
    </row>
    <row r="142">
      <c r="A142" s="82" t="s">
        <v>109</v>
      </c>
      <c r="B142" s="82" t="s">
        <v>110</v>
      </c>
      <c r="C142" s="82">
        <v>39.0</v>
      </c>
      <c r="D142" s="82">
        <v>79.0</v>
      </c>
      <c r="E142" s="82">
        <v>61.0</v>
      </c>
    </row>
    <row r="143">
      <c r="A143" s="82" t="s">
        <v>104</v>
      </c>
      <c r="B143" s="82" t="s">
        <v>105</v>
      </c>
      <c r="C143" s="82">
        <v>30.0</v>
      </c>
      <c r="D143" s="82">
        <v>41.0</v>
      </c>
      <c r="E143" s="82">
        <v>15.0</v>
      </c>
    </row>
    <row r="144">
      <c r="A144" s="82" t="s">
        <v>111</v>
      </c>
      <c r="B144" s="82">
        <v>74910.0</v>
      </c>
      <c r="C144" s="82">
        <v>29.0</v>
      </c>
      <c r="D144" s="82">
        <v>7.0</v>
      </c>
      <c r="E144" s="82">
        <v>28.0</v>
      </c>
    </row>
    <row r="145">
      <c r="A145" s="82" t="s">
        <v>106</v>
      </c>
      <c r="B145" s="82">
        <v>24041.0</v>
      </c>
      <c r="C145" s="82">
        <v>17.0</v>
      </c>
      <c r="D145" s="82">
        <v>9.0</v>
      </c>
      <c r="E145" s="82">
        <v>6.0</v>
      </c>
    </row>
    <row r="146">
      <c r="A146" s="82" t="s">
        <v>124</v>
      </c>
      <c r="B146" s="82">
        <v>2525.0</v>
      </c>
      <c r="C146" s="82">
        <v>17.0</v>
      </c>
      <c r="D146" s="82">
        <v>36.0</v>
      </c>
      <c r="E146" s="82">
        <v>41.0</v>
      </c>
    </row>
    <row r="147">
      <c r="A147" s="82" t="s">
        <v>117</v>
      </c>
      <c r="B147" s="82" t="s">
        <v>118</v>
      </c>
      <c r="C147" s="82">
        <v>16.0</v>
      </c>
      <c r="D147" s="82">
        <v>17.0</v>
      </c>
      <c r="E147" s="82">
        <v>31.0</v>
      </c>
    </row>
    <row r="148">
      <c r="A148" s="82" t="s">
        <v>107</v>
      </c>
      <c r="B148" s="82" t="s">
        <v>108</v>
      </c>
      <c r="C148" s="82">
        <v>16.0</v>
      </c>
      <c r="D148" s="82">
        <v>14.0</v>
      </c>
      <c r="E148" s="82">
        <v>25.0</v>
      </c>
    </row>
    <row r="149">
      <c r="A149" s="82" t="s">
        <v>114</v>
      </c>
      <c r="B149" s="82" t="s">
        <v>115</v>
      </c>
      <c r="C149" s="82">
        <v>12.0</v>
      </c>
      <c r="D149" s="82">
        <v>0.0</v>
      </c>
      <c r="E149" s="82">
        <v>29.0</v>
      </c>
    </row>
    <row r="150">
      <c r="A150" s="82" t="s">
        <v>97</v>
      </c>
      <c r="B150" s="82">
        <v>234.0</v>
      </c>
      <c r="C150" s="82">
        <v>8.0</v>
      </c>
      <c r="D150" s="82">
        <v>10.0</v>
      </c>
      <c r="E150" s="82">
        <v>7.0</v>
      </c>
    </row>
    <row r="151">
      <c r="A151" s="82" t="s">
        <v>116</v>
      </c>
      <c r="B151" s="82">
        <v>24048.0</v>
      </c>
      <c r="C151" s="82">
        <v>7.0</v>
      </c>
      <c r="D151" s="82">
        <v>0.0</v>
      </c>
      <c r="E151" s="82">
        <v>0.0</v>
      </c>
    </row>
    <row r="152">
      <c r="A152" s="104"/>
      <c r="B152" s="104"/>
      <c r="C152" s="104"/>
      <c r="E152" s="104"/>
    </row>
    <row r="157">
      <c r="A157" s="105" t="s">
        <v>125</v>
      </c>
      <c r="B157" s="105" t="s">
        <v>126</v>
      </c>
      <c r="C157" s="106" t="s">
        <v>303</v>
      </c>
      <c r="D157" s="107" t="s">
        <v>304</v>
      </c>
      <c r="E157" s="106" t="s">
        <v>414</v>
      </c>
      <c r="F157" s="106" t="s">
        <v>415</v>
      </c>
    </row>
    <row r="158">
      <c r="A158" s="108" t="s">
        <v>131</v>
      </c>
      <c r="B158" s="183" t="s">
        <v>398</v>
      </c>
      <c r="C158" s="184" t="s">
        <v>416</v>
      </c>
      <c r="D158" s="185" t="s">
        <v>306</v>
      </c>
      <c r="E158" s="184" t="s">
        <v>305</v>
      </c>
      <c r="F158" s="184" t="s">
        <v>417</v>
      </c>
    </row>
    <row r="159">
      <c r="A159" s="113"/>
      <c r="B159" s="114" t="s">
        <v>15</v>
      </c>
      <c r="C159" s="205">
        <v>338.0</v>
      </c>
      <c r="D159" s="186" t="s">
        <v>333</v>
      </c>
      <c r="E159" s="205">
        <v>379.0</v>
      </c>
      <c r="F159" s="205" t="s">
        <v>418</v>
      </c>
    </row>
    <row r="160">
      <c r="A160" s="113"/>
      <c r="B160" s="114" t="s">
        <v>134</v>
      </c>
      <c r="C160" s="205">
        <v>189.0</v>
      </c>
      <c r="D160" s="186" t="s">
        <v>334</v>
      </c>
      <c r="E160" s="205">
        <v>204.0</v>
      </c>
      <c r="F160" s="205" t="s">
        <v>419</v>
      </c>
    </row>
    <row r="161">
      <c r="A161" s="113"/>
      <c r="B161" s="114" t="s">
        <v>136</v>
      </c>
      <c r="C161" s="205">
        <v>175.0</v>
      </c>
      <c r="D161" s="186" t="s">
        <v>320</v>
      </c>
      <c r="E161" s="205">
        <v>181.0</v>
      </c>
      <c r="F161" s="205" t="s">
        <v>420</v>
      </c>
    </row>
    <row r="162">
      <c r="A162" s="113"/>
      <c r="B162" s="114" t="s">
        <v>138</v>
      </c>
      <c r="C162" s="205">
        <v>149.0</v>
      </c>
      <c r="D162" s="186" t="s">
        <v>309</v>
      </c>
      <c r="E162" s="205">
        <v>166.0</v>
      </c>
      <c r="F162" s="205" t="s">
        <v>421</v>
      </c>
    </row>
    <row r="163">
      <c r="A163" s="113"/>
      <c r="B163" s="114" t="s">
        <v>140</v>
      </c>
      <c r="C163" s="205">
        <v>135.0</v>
      </c>
      <c r="D163" s="186" t="s">
        <v>324</v>
      </c>
      <c r="E163" s="205">
        <v>125.0</v>
      </c>
      <c r="F163" s="205" t="s">
        <v>422</v>
      </c>
    </row>
    <row r="164">
      <c r="A164" s="113"/>
      <c r="B164" s="114" t="s">
        <v>144</v>
      </c>
      <c r="C164" s="205">
        <v>111.0</v>
      </c>
      <c r="D164" s="186" t="s">
        <v>323</v>
      </c>
      <c r="E164" s="205">
        <v>113.0</v>
      </c>
      <c r="F164" s="205" t="s">
        <v>423</v>
      </c>
    </row>
    <row r="165">
      <c r="A165" s="113"/>
      <c r="B165" s="114" t="s">
        <v>148</v>
      </c>
      <c r="C165" s="205">
        <v>111.0</v>
      </c>
      <c r="D165" s="186" t="s">
        <v>327</v>
      </c>
      <c r="E165" s="205">
        <v>119.0</v>
      </c>
      <c r="F165" s="205" t="s">
        <v>424</v>
      </c>
    </row>
    <row r="166">
      <c r="A166" s="113"/>
      <c r="B166" s="114" t="s">
        <v>146</v>
      </c>
      <c r="C166" s="205">
        <v>105.0</v>
      </c>
      <c r="D166" s="186" t="s">
        <v>325</v>
      </c>
      <c r="E166" s="115">
        <v>134.0</v>
      </c>
      <c r="F166" s="205" t="s">
        <v>425</v>
      </c>
    </row>
    <row r="167">
      <c r="A167" s="113"/>
      <c r="B167" s="114" t="s">
        <v>142</v>
      </c>
      <c r="C167" s="205">
        <v>90.0</v>
      </c>
      <c r="D167" s="186" t="s">
        <v>335</v>
      </c>
      <c r="E167" s="205">
        <v>103.0</v>
      </c>
      <c r="F167" s="205" t="s">
        <v>426</v>
      </c>
    </row>
    <row r="168">
      <c r="A168" s="113"/>
      <c r="B168" s="114" t="s">
        <v>152</v>
      </c>
      <c r="C168" s="205">
        <v>88.0</v>
      </c>
      <c r="D168" s="186" t="s">
        <v>308</v>
      </c>
      <c r="E168" s="205">
        <v>70.0</v>
      </c>
      <c r="F168" s="205" t="s">
        <v>427</v>
      </c>
    </row>
    <row r="169">
      <c r="A169" s="113"/>
      <c r="B169" s="114" t="s">
        <v>150</v>
      </c>
      <c r="C169" s="205">
        <v>78.0</v>
      </c>
      <c r="D169" s="186" t="s">
        <v>343</v>
      </c>
      <c r="E169" s="205">
        <v>70.0</v>
      </c>
      <c r="F169" s="205" t="s">
        <v>428</v>
      </c>
    </row>
    <row r="170">
      <c r="A170" s="113"/>
      <c r="B170" s="114" t="s">
        <v>156</v>
      </c>
      <c r="C170" s="205">
        <v>67.0</v>
      </c>
      <c r="D170" s="186" t="s">
        <v>336</v>
      </c>
      <c r="E170" s="205">
        <v>81.0</v>
      </c>
      <c r="F170" s="205" t="s">
        <v>429</v>
      </c>
    </row>
    <row r="171">
      <c r="A171" s="113"/>
      <c r="B171" s="121">
        <v>45925.0</v>
      </c>
      <c r="C171" s="205">
        <v>64.0</v>
      </c>
      <c r="D171" s="186" t="s">
        <v>307</v>
      </c>
      <c r="E171" s="205">
        <v>72.0</v>
      </c>
      <c r="F171" s="205" t="s">
        <v>430</v>
      </c>
    </row>
    <row r="172">
      <c r="A172" s="113"/>
      <c r="B172" s="114" t="s">
        <v>154</v>
      </c>
      <c r="C172" s="205">
        <v>59.0</v>
      </c>
      <c r="D172" s="186" t="s">
        <v>332</v>
      </c>
      <c r="E172" s="205">
        <v>52.0</v>
      </c>
      <c r="F172" s="205" t="s">
        <v>431</v>
      </c>
    </row>
    <row r="173">
      <c r="A173" s="113"/>
      <c r="B173" s="114" t="s">
        <v>159</v>
      </c>
      <c r="C173" s="205">
        <v>57.0</v>
      </c>
      <c r="D173" s="186" t="s">
        <v>342</v>
      </c>
      <c r="E173" s="205">
        <v>75.0</v>
      </c>
      <c r="F173" s="205" t="s">
        <v>432</v>
      </c>
    </row>
    <row r="174">
      <c r="A174" s="113"/>
      <c r="B174" s="114" t="s">
        <v>167</v>
      </c>
      <c r="C174" s="205">
        <v>56.0</v>
      </c>
      <c r="D174" s="186" t="s">
        <v>318</v>
      </c>
      <c r="E174" s="205">
        <v>29.0</v>
      </c>
      <c r="F174" s="205" t="s">
        <v>433</v>
      </c>
    </row>
    <row r="175">
      <c r="A175" s="113"/>
      <c r="B175" s="114" t="s">
        <v>161</v>
      </c>
      <c r="C175" s="205">
        <v>51.0</v>
      </c>
      <c r="D175" s="186" t="s">
        <v>315</v>
      </c>
      <c r="E175" s="205">
        <v>71.0</v>
      </c>
      <c r="F175" s="205" t="s">
        <v>434</v>
      </c>
    </row>
    <row r="176">
      <c r="A176" s="113"/>
      <c r="B176" s="114" t="s">
        <v>169</v>
      </c>
      <c r="C176" s="205">
        <v>46.0</v>
      </c>
      <c r="D176" s="186" t="s">
        <v>344</v>
      </c>
      <c r="E176" s="205">
        <v>43.0</v>
      </c>
      <c r="F176" s="205" t="s">
        <v>435</v>
      </c>
    </row>
    <row r="177">
      <c r="A177" s="113"/>
      <c r="B177" s="114" t="s">
        <v>165</v>
      </c>
      <c r="C177" s="205">
        <v>45.0</v>
      </c>
      <c r="D177" s="186" t="s">
        <v>331</v>
      </c>
      <c r="E177" s="205">
        <v>34.0</v>
      </c>
      <c r="F177" s="205" t="s">
        <v>436</v>
      </c>
    </row>
    <row r="178">
      <c r="A178" s="113"/>
      <c r="B178" s="114" t="s">
        <v>163</v>
      </c>
      <c r="C178" s="205">
        <v>42.0</v>
      </c>
      <c r="D178" s="186" t="s">
        <v>314</v>
      </c>
      <c r="E178" s="205">
        <v>77.0</v>
      </c>
      <c r="F178" s="205" t="s">
        <v>437</v>
      </c>
    </row>
    <row r="179">
      <c r="A179" s="113"/>
      <c r="B179" s="114" t="s">
        <v>171</v>
      </c>
      <c r="C179" s="205">
        <v>31.0</v>
      </c>
      <c r="D179" s="186" t="s">
        <v>328</v>
      </c>
      <c r="E179" s="205">
        <v>28.0</v>
      </c>
      <c r="F179" s="205" t="s">
        <v>438</v>
      </c>
    </row>
    <row r="180">
      <c r="A180" s="113"/>
      <c r="B180" s="114" t="s">
        <v>175</v>
      </c>
      <c r="C180" s="205">
        <v>30.0</v>
      </c>
      <c r="D180" s="186" t="s">
        <v>313</v>
      </c>
      <c r="E180" s="205">
        <v>28.0</v>
      </c>
      <c r="F180" s="205" t="s">
        <v>439</v>
      </c>
    </row>
    <row r="181">
      <c r="A181" s="113"/>
      <c r="B181" s="114" t="s">
        <v>181</v>
      </c>
      <c r="C181" s="205">
        <v>26.0</v>
      </c>
      <c r="D181" s="186" t="s">
        <v>322</v>
      </c>
      <c r="E181" s="205">
        <v>23.0</v>
      </c>
      <c r="F181" s="205" t="s">
        <v>440</v>
      </c>
    </row>
    <row r="182">
      <c r="A182" s="113"/>
      <c r="B182" s="114" t="s">
        <v>177</v>
      </c>
      <c r="C182" s="205">
        <v>20.0</v>
      </c>
      <c r="D182" s="186" t="s">
        <v>312</v>
      </c>
      <c r="E182" s="205">
        <v>21.0</v>
      </c>
      <c r="F182" s="205" t="s">
        <v>441</v>
      </c>
    </row>
    <row r="183">
      <c r="A183" s="113"/>
      <c r="B183" s="114" t="s">
        <v>179</v>
      </c>
      <c r="C183" s="205">
        <v>18.0</v>
      </c>
      <c r="D183" s="186" t="s">
        <v>311</v>
      </c>
      <c r="E183" s="205">
        <v>30.0</v>
      </c>
      <c r="F183" s="205" t="s">
        <v>442</v>
      </c>
    </row>
    <row r="184">
      <c r="A184" s="113"/>
      <c r="B184" s="114" t="s">
        <v>193</v>
      </c>
      <c r="C184" s="205">
        <v>14.0</v>
      </c>
      <c r="D184" s="186" t="s">
        <v>316</v>
      </c>
      <c r="E184" s="205">
        <v>4.0</v>
      </c>
      <c r="F184" s="205" t="s">
        <v>443</v>
      </c>
    </row>
    <row r="185">
      <c r="A185" s="113"/>
      <c r="B185" s="114" t="s">
        <v>183</v>
      </c>
      <c r="C185" s="205">
        <v>13.0</v>
      </c>
      <c r="D185" s="186" t="s">
        <v>329</v>
      </c>
      <c r="E185" s="205">
        <v>117.0</v>
      </c>
      <c r="F185" s="205" t="s">
        <v>444</v>
      </c>
    </row>
    <row r="186">
      <c r="A186" s="113"/>
      <c r="B186" s="114" t="s">
        <v>173</v>
      </c>
      <c r="C186" s="205">
        <v>11.0</v>
      </c>
      <c r="D186" s="186" t="s">
        <v>341</v>
      </c>
      <c r="E186" s="205">
        <v>14.0</v>
      </c>
      <c r="F186" s="205" t="s">
        <v>445</v>
      </c>
    </row>
    <row r="187">
      <c r="A187" s="113"/>
      <c r="B187" s="114" t="s">
        <v>185</v>
      </c>
      <c r="C187" s="205">
        <v>9.0</v>
      </c>
      <c r="D187" s="186" t="s">
        <v>319</v>
      </c>
      <c r="E187" s="205">
        <v>9.0</v>
      </c>
      <c r="F187" s="205" t="s">
        <v>446</v>
      </c>
    </row>
    <row r="188">
      <c r="A188" s="113"/>
      <c r="B188" s="114" t="s">
        <v>191</v>
      </c>
      <c r="C188" s="205">
        <v>9.0</v>
      </c>
      <c r="D188" s="186" t="s">
        <v>330</v>
      </c>
      <c r="E188" s="205">
        <v>17.0</v>
      </c>
      <c r="F188" s="205" t="s">
        <v>447</v>
      </c>
    </row>
    <row r="189">
      <c r="A189" s="113"/>
      <c r="B189" s="114" t="s">
        <v>187</v>
      </c>
      <c r="C189" s="205">
        <v>9.0</v>
      </c>
      <c r="D189" s="186" t="s">
        <v>337</v>
      </c>
      <c r="E189" s="205">
        <v>4.0</v>
      </c>
      <c r="F189" s="205" t="s">
        <v>448</v>
      </c>
    </row>
    <row r="190">
      <c r="A190" s="113"/>
      <c r="B190" s="114" t="s">
        <v>199</v>
      </c>
      <c r="C190" s="205">
        <v>7.0</v>
      </c>
      <c r="D190" s="186" t="s">
        <v>326</v>
      </c>
      <c r="E190" s="205">
        <v>3.0</v>
      </c>
      <c r="F190" s="205" t="s">
        <v>449</v>
      </c>
    </row>
    <row r="191">
      <c r="A191" s="113"/>
      <c r="B191" s="114" t="s">
        <v>189</v>
      </c>
      <c r="C191" s="205">
        <v>6.0</v>
      </c>
      <c r="D191" s="186" t="s">
        <v>317</v>
      </c>
      <c r="E191" s="205">
        <v>2.0</v>
      </c>
      <c r="F191" s="205" t="s">
        <v>450</v>
      </c>
    </row>
    <row r="192">
      <c r="A192" s="113"/>
      <c r="B192" s="114" t="s">
        <v>197</v>
      </c>
      <c r="C192" s="205">
        <v>6.0</v>
      </c>
      <c r="D192" s="186" t="s">
        <v>339</v>
      </c>
      <c r="E192" s="205">
        <v>4.0</v>
      </c>
      <c r="F192" s="205" t="s">
        <v>451</v>
      </c>
    </row>
    <row r="193">
      <c r="A193" s="113"/>
      <c r="B193" s="114" t="s">
        <v>203</v>
      </c>
      <c r="C193" s="205">
        <v>4.0</v>
      </c>
      <c r="D193" s="186" t="s">
        <v>338</v>
      </c>
      <c r="E193" s="205">
        <v>11.0</v>
      </c>
      <c r="F193" s="205" t="s">
        <v>452</v>
      </c>
    </row>
    <row r="194">
      <c r="A194" s="113"/>
      <c r="B194" s="114" t="s">
        <v>201</v>
      </c>
      <c r="C194" s="205">
        <v>3.0</v>
      </c>
      <c r="D194" s="186" t="s">
        <v>310</v>
      </c>
      <c r="E194" s="205">
        <v>7.0</v>
      </c>
      <c r="F194" s="205" t="s">
        <v>453</v>
      </c>
    </row>
    <row r="195">
      <c r="A195" s="113"/>
      <c r="B195" s="114" t="s">
        <v>205</v>
      </c>
      <c r="C195" s="205">
        <v>3.0</v>
      </c>
      <c r="D195" s="186" t="s">
        <v>340</v>
      </c>
      <c r="E195" s="205">
        <v>4.0</v>
      </c>
      <c r="F195" s="205" t="s">
        <v>454</v>
      </c>
    </row>
    <row r="196">
      <c r="A196" s="122"/>
      <c r="B196" s="123" t="s">
        <v>195</v>
      </c>
      <c r="C196" s="206">
        <v>2.0</v>
      </c>
      <c r="D196" s="187" t="s">
        <v>321</v>
      </c>
      <c r="E196" s="205">
        <v>5.0</v>
      </c>
      <c r="F196" s="205" t="s">
        <v>455</v>
      </c>
    </row>
    <row r="197">
      <c r="A197" s="127"/>
      <c r="B197" s="128"/>
      <c r="C197" s="129"/>
      <c r="D197" s="129"/>
      <c r="E197" s="188"/>
      <c r="F197" s="188"/>
    </row>
    <row r="198">
      <c r="A198" s="132" t="s">
        <v>125</v>
      </c>
      <c r="B198" s="105" t="s">
        <v>126</v>
      </c>
      <c r="C198" s="106" t="s">
        <v>303</v>
      </c>
      <c r="D198" s="106" t="s">
        <v>304</v>
      </c>
      <c r="E198" s="106" t="s">
        <v>414</v>
      </c>
      <c r="F198" s="106" t="s">
        <v>415</v>
      </c>
    </row>
    <row r="199">
      <c r="A199" s="134" t="s">
        <v>206</v>
      </c>
      <c r="B199" s="135"/>
      <c r="C199" s="190" t="s">
        <v>456</v>
      </c>
      <c r="D199" s="190" t="s">
        <v>345</v>
      </c>
      <c r="E199" s="190" t="s">
        <v>457</v>
      </c>
      <c r="F199" s="190" t="s">
        <v>458</v>
      </c>
    </row>
    <row r="200">
      <c r="A200" s="140"/>
      <c r="B200" s="141" t="s">
        <v>232</v>
      </c>
      <c r="C200" s="190">
        <v>31.0</v>
      </c>
      <c r="D200" s="190" t="s">
        <v>346</v>
      </c>
      <c r="E200" s="190">
        <v>22.0</v>
      </c>
      <c r="F200" s="190" t="s">
        <v>459</v>
      </c>
    </row>
    <row r="201">
      <c r="A201" s="140"/>
      <c r="B201" s="141" t="s">
        <v>247</v>
      </c>
      <c r="C201" s="190">
        <v>6.0</v>
      </c>
      <c r="D201" s="190" t="s">
        <v>347</v>
      </c>
      <c r="E201" s="190">
        <v>6.0</v>
      </c>
      <c r="F201" s="190" t="s">
        <v>460</v>
      </c>
    </row>
    <row r="202">
      <c r="A202" s="140"/>
      <c r="B202" s="141" t="s">
        <v>222</v>
      </c>
      <c r="C202" s="190">
        <v>40.0</v>
      </c>
      <c r="D202" s="190" t="s">
        <v>348</v>
      </c>
      <c r="E202" s="190">
        <v>40.0</v>
      </c>
      <c r="F202" s="190" t="s">
        <v>461</v>
      </c>
    </row>
    <row r="203">
      <c r="A203" s="140"/>
      <c r="B203" s="141" t="s">
        <v>242</v>
      </c>
      <c r="C203" s="190">
        <v>6.0</v>
      </c>
      <c r="D203" s="190" t="s">
        <v>349</v>
      </c>
      <c r="E203" s="190">
        <v>11.0</v>
      </c>
      <c r="F203" s="190" t="s">
        <v>462</v>
      </c>
    </row>
    <row r="204">
      <c r="A204" s="140"/>
      <c r="B204" s="141" t="s">
        <v>252</v>
      </c>
      <c r="C204" s="190">
        <v>1.0</v>
      </c>
      <c r="D204" s="190" t="s">
        <v>350</v>
      </c>
      <c r="E204" s="190">
        <v>1.0</v>
      </c>
      <c r="F204" s="190" t="s">
        <v>463</v>
      </c>
    </row>
    <row r="205">
      <c r="A205" s="140"/>
      <c r="B205" s="141" t="s">
        <v>207</v>
      </c>
      <c r="C205" s="190">
        <v>433.0</v>
      </c>
      <c r="D205" s="190" t="s">
        <v>351</v>
      </c>
      <c r="E205" s="190">
        <v>450.0</v>
      </c>
      <c r="F205" s="190" t="s">
        <v>464</v>
      </c>
    </row>
    <row r="206">
      <c r="A206" s="140"/>
      <c r="B206" s="141" t="s">
        <v>248</v>
      </c>
      <c r="C206" s="190">
        <v>3.0</v>
      </c>
      <c r="D206" s="190" t="s">
        <v>352</v>
      </c>
      <c r="E206" s="191">
        <v>0.0</v>
      </c>
      <c r="F206" s="191">
        <v>0.0</v>
      </c>
    </row>
    <row r="207">
      <c r="A207" s="140"/>
      <c r="B207" s="141" t="s">
        <v>219</v>
      </c>
      <c r="C207" s="190">
        <v>117.0</v>
      </c>
      <c r="D207" s="190" t="s">
        <v>353</v>
      </c>
      <c r="E207" s="190">
        <v>131.0</v>
      </c>
      <c r="F207" s="190" t="s">
        <v>465</v>
      </c>
    </row>
    <row r="208">
      <c r="A208" s="140"/>
      <c r="B208" s="141" t="s">
        <v>227</v>
      </c>
      <c r="C208" s="190">
        <v>33.0</v>
      </c>
      <c r="D208" s="190" t="s">
        <v>354</v>
      </c>
      <c r="E208" s="190">
        <v>58.0</v>
      </c>
      <c r="F208" s="190" t="s">
        <v>466</v>
      </c>
    </row>
    <row r="209">
      <c r="A209" s="140"/>
      <c r="B209" s="141" t="s">
        <v>235</v>
      </c>
      <c r="C209" s="190">
        <v>27.0</v>
      </c>
      <c r="D209" s="190" t="s">
        <v>355</v>
      </c>
      <c r="E209" s="190">
        <v>31.0</v>
      </c>
      <c r="F209" s="190" t="s">
        <v>467</v>
      </c>
    </row>
    <row r="210">
      <c r="A210" s="140"/>
      <c r="B210" s="141" t="s">
        <v>217</v>
      </c>
      <c r="C210" s="190">
        <v>130.0</v>
      </c>
      <c r="D210" s="190" t="s">
        <v>356</v>
      </c>
      <c r="E210" s="190">
        <v>193.0</v>
      </c>
      <c r="F210" s="190" t="s">
        <v>468</v>
      </c>
    </row>
    <row r="211">
      <c r="A211" s="140"/>
      <c r="B211" s="141" t="s">
        <v>236</v>
      </c>
      <c r="C211" s="190">
        <v>11.0</v>
      </c>
      <c r="D211" s="190" t="s">
        <v>357</v>
      </c>
      <c r="E211" s="190">
        <v>13.0</v>
      </c>
      <c r="F211" s="190" t="s">
        <v>469</v>
      </c>
    </row>
    <row r="212">
      <c r="A212" s="140"/>
      <c r="B212" s="141" t="s">
        <v>244</v>
      </c>
      <c r="C212" s="190">
        <v>18.0</v>
      </c>
      <c r="D212" s="190" t="s">
        <v>358</v>
      </c>
      <c r="E212" s="190">
        <v>13.0</v>
      </c>
      <c r="F212" s="190" t="s">
        <v>470</v>
      </c>
    </row>
    <row r="213">
      <c r="A213" s="140"/>
      <c r="B213" s="141" t="s">
        <v>245</v>
      </c>
      <c r="C213" s="190">
        <v>13.0</v>
      </c>
      <c r="D213" s="190" t="s">
        <v>359</v>
      </c>
      <c r="E213" s="190">
        <v>17.0</v>
      </c>
      <c r="F213" s="190" t="s">
        <v>471</v>
      </c>
    </row>
    <row r="214">
      <c r="A214" s="140"/>
      <c r="B214" s="141" t="s">
        <v>256</v>
      </c>
      <c r="C214" s="190">
        <v>4.0</v>
      </c>
      <c r="D214" s="190" t="s">
        <v>360</v>
      </c>
      <c r="E214" s="190">
        <v>2.0</v>
      </c>
      <c r="F214" s="190" t="s">
        <v>472</v>
      </c>
    </row>
    <row r="215">
      <c r="A215" s="140"/>
      <c r="B215" s="141" t="s">
        <v>238</v>
      </c>
      <c r="C215" s="190">
        <v>16.0</v>
      </c>
      <c r="D215" s="190" t="s">
        <v>361</v>
      </c>
      <c r="E215" s="190">
        <v>21.0</v>
      </c>
      <c r="F215" s="190" t="s">
        <v>473</v>
      </c>
    </row>
    <row r="216">
      <c r="A216" s="140"/>
      <c r="B216" s="141" t="s">
        <v>214</v>
      </c>
      <c r="C216" s="190">
        <v>183.0</v>
      </c>
      <c r="D216" s="190" t="s">
        <v>362</v>
      </c>
      <c r="E216" s="190">
        <v>193.0</v>
      </c>
      <c r="F216" s="190" t="s">
        <v>474</v>
      </c>
    </row>
    <row r="217">
      <c r="A217" s="140"/>
      <c r="B217" s="141" t="s">
        <v>233</v>
      </c>
      <c r="C217" s="190">
        <v>36.0</v>
      </c>
      <c r="D217" s="190" t="s">
        <v>363</v>
      </c>
      <c r="E217" s="190">
        <v>22.0</v>
      </c>
      <c r="F217" s="190" t="s">
        <v>475</v>
      </c>
    </row>
    <row r="218">
      <c r="A218" s="140"/>
      <c r="B218" s="141" t="s">
        <v>215</v>
      </c>
      <c r="C218" s="190">
        <v>142.0</v>
      </c>
      <c r="D218" s="190" t="s">
        <v>364</v>
      </c>
      <c r="E218" s="190">
        <v>148.0</v>
      </c>
      <c r="F218" s="190" t="s">
        <v>476</v>
      </c>
    </row>
    <row r="219">
      <c r="A219" s="140"/>
      <c r="B219" s="141" t="s">
        <v>212</v>
      </c>
      <c r="C219" s="190">
        <v>231.0</v>
      </c>
      <c r="D219" s="190" t="s">
        <v>365</v>
      </c>
      <c r="E219" s="190">
        <v>260.0</v>
      </c>
      <c r="F219" s="190" t="s">
        <v>477</v>
      </c>
    </row>
    <row r="220">
      <c r="A220" s="140"/>
      <c r="B220" s="141" t="s">
        <v>210</v>
      </c>
      <c r="C220" s="190">
        <v>255.0</v>
      </c>
      <c r="D220" s="190" t="s">
        <v>366</v>
      </c>
      <c r="E220" s="190">
        <v>314.0</v>
      </c>
      <c r="F220" s="190" t="s">
        <v>478</v>
      </c>
    </row>
    <row r="221">
      <c r="A221" s="140"/>
      <c r="B221" s="141" t="s">
        <v>246</v>
      </c>
      <c r="C221" s="190">
        <v>4.0</v>
      </c>
      <c r="D221" s="190" t="s">
        <v>367</v>
      </c>
      <c r="E221" s="190">
        <v>7.0</v>
      </c>
      <c r="F221" s="190" t="s">
        <v>479</v>
      </c>
    </row>
    <row r="222">
      <c r="A222" s="140"/>
      <c r="B222" s="141" t="s">
        <v>225</v>
      </c>
      <c r="C222" s="190">
        <v>49.0</v>
      </c>
      <c r="D222" s="190" t="s">
        <v>368</v>
      </c>
      <c r="E222" s="190">
        <v>46.0</v>
      </c>
      <c r="F222" s="190" t="s">
        <v>480</v>
      </c>
    </row>
    <row r="223">
      <c r="A223" s="140"/>
      <c r="B223" s="141" t="s">
        <v>230</v>
      </c>
      <c r="C223" s="190">
        <v>44.0</v>
      </c>
      <c r="D223" s="190" t="s">
        <v>369</v>
      </c>
      <c r="E223" s="190">
        <v>26.0</v>
      </c>
      <c r="F223" s="190" t="s">
        <v>481</v>
      </c>
    </row>
    <row r="224">
      <c r="A224" s="140"/>
      <c r="B224" s="141" t="s">
        <v>241</v>
      </c>
      <c r="C224" s="190">
        <v>4.0</v>
      </c>
      <c r="D224" s="190" t="s">
        <v>370</v>
      </c>
      <c r="E224" s="190">
        <v>11.0</v>
      </c>
      <c r="F224" s="190" t="s">
        <v>482</v>
      </c>
    </row>
    <row r="225">
      <c r="A225" s="140"/>
      <c r="B225" s="141" t="s">
        <v>251</v>
      </c>
      <c r="C225" s="190">
        <v>2.0</v>
      </c>
      <c r="D225" s="190" t="s">
        <v>371</v>
      </c>
      <c r="E225" s="191">
        <v>0.0</v>
      </c>
      <c r="F225" s="191">
        <v>0.0</v>
      </c>
    </row>
    <row r="226">
      <c r="A226" s="140"/>
      <c r="B226" s="141" t="s">
        <v>213</v>
      </c>
      <c r="C226" s="190">
        <v>152.0</v>
      </c>
      <c r="D226" s="190" t="s">
        <v>372</v>
      </c>
      <c r="E226" s="190">
        <v>166.0</v>
      </c>
      <c r="F226" s="190" t="s">
        <v>483</v>
      </c>
    </row>
    <row r="227">
      <c r="A227" s="140"/>
      <c r="B227" s="141" t="s">
        <v>239</v>
      </c>
      <c r="C227" s="190">
        <v>22.0</v>
      </c>
      <c r="D227" s="190" t="s">
        <v>373</v>
      </c>
      <c r="E227" s="190">
        <v>17.0</v>
      </c>
      <c r="F227" s="190" t="s">
        <v>484</v>
      </c>
    </row>
    <row r="228">
      <c r="A228" s="140"/>
      <c r="B228" s="141" t="s">
        <v>234</v>
      </c>
      <c r="C228" s="190">
        <v>30.0</v>
      </c>
      <c r="D228" s="190" t="s">
        <v>374</v>
      </c>
      <c r="E228" s="190">
        <v>31.0</v>
      </c>
      <c r="F228" s="190" t="s">
        <v>485</v>
      </c>
    </row>
    <row r="229">
      <c r="A229" s="140"/>
      <c r="B229" s="141" t="s">
        <v>218</v>
      </c>
      <c r="C229" s="190">
        <v>116.0</v>
      </c>
      <c r="D229" s="190" t="s">
        <v>375</v>
      </c>
      <c r="E229" s="190">
        <v>143.0</v>
      </c>
      <c r="F229" s="190" t="s">
        <v>486</v>
      </c>
    </row>
    <row r="230">
      <c r="A230" s="140"/>
      <c r="B230" s="141" t="s">
        <v>209</v>
      </c>
      <c r="C230" s="190">
        <v>256.0</v>
      </c>
      <c r="D230" s="190" t="s">
        <v>376</v>
      </c>
      <c r="E230" s="190">
        <v>270.0</v>
      </c>
      <c r="F230" s="190" t="s">
        <v>487</v>
      </c>
    </row>
    <row r="231">
      <c r="A231" s="140"/>
      <c r="B231" s="141" t="s">
        <v>208</v>
      </c>
      <c r="C231" s="190">
        <v>310.0</v>
      </c>
      <c r="D231" s="190" t="s">
        <v>377</v>
      </c>
      <c r="E231" s="190">
        <v>325.0</v>
      </c>
      <c r="F231" s="190" t="s">
        <v>488</v>
      </c>
    </row>
    <row r="232">
      <c r="A232" s="140"/>
      <c r="B232" s="141" t="s">
        <v>221</v>
      </c>
      <c r="C232" s="190">
        <v>64.0</v>
      </c>
      <c r="D232" s="190" t="s">
        <v>378</v>
      </c>
      <c r="E232" s="190">
        <v>93.0</v>
      </c>
      <c r="F232" s="190" t="s">
        <v>489</v>
      </c>
    </row>
    <row r="233">
      <c r="A233" s="140"/>
      <c r="B233" s="141" t="s">
        <v>224</v>
      </c>
      <c r="C233" s="190">
        <v>51.0</v>
      </c>
      <c r="D233" s="190" t="s">
        <v>379</v>
      </c>
      <c r="E233" s="190">
        <v>45.0</v>
      </c>
      <c r="F233" s="190" t="s">
        <v>490</v>
      </c>
    </row>
    <row r="234">
      <c r="A234" s="140"/>
      <c r="B234" s="141" t="s">
        <v>223</v>
      </c>
      <c r="C234" s="190">
        <v>32.0</v>
      </c>
      <c r="D234" s="190" t="s">
        <v>380</v>
      </c>
      <c r="E234" s="190">
        <v>43.0</v>
      </c>
      <c r="F234" s="190" t="s">
        <v>491</v>
      </c>
    </row>
    <row r="235">
      <c r="A235" s="140"/>
      <c r="B235" s="141" t="s">
        <v>231</v>
      </c>
      <c r="C235" s="190">
        <v>26.0</v>
      </c>
      <c r="D235" s="190" t="s">
        <v>381</v>
      </c>
      <c r="E235" s="190">
        <v>21.0</v>
      </c>
      <c r="F235" s="190" t="s">
        <v>492</v>
      </c>
    </row>
    <row r="236">
      <c r="A236" s="140"/>
      <c r="B236" s="143" t="s">
        <v>253</v>
      </c>
      <c r="C236" s="190">
        <v>5.0</v>
      </c>
      <c r="D236" s="190" t="s">
        <v>382</v>
      </c>
      <c r="E236" s="190">
        <v>6.0</v>
      </c>
      <c r="F236" s="190" t="s">
        <v>493</v>
      </c>
    </row>
    <row r="237">
      <c r="A237" s="140"/>
      <c r="B237" s="141" t="s">
        <v>254</v>
      </c>
      <c r="C237" s="190">
        <v>1.0</v>
      </c>
      <c r="D237" s="190" t="s">
        <v>383</v>
      </c>
      <c r="E237" s="190">
        <v>2.0</v>
      </c>
      <c r="F237" s="190" t="s">
        <v>494</v>
      </c>
    </row>
    <row r="238">
      <c r="A238" s="140"/>
      <c r="B238" s="141" t="s">
        <v>255</v>
      </c>
      <c r="C238" s="190">
        <v>3.0</v>
      </c>
      <c r="D238" s="190" t="s">
        <v>384</v>
      </c>
      <c r="E238" s="190">
        <v>5.0</v>
      </c>
      <c r="F238" s="190" t="s">
        <v>495</v>
      </c>
    </row>
    <row r="239">
      <c r="A239" s="140"/>
      <c r="B239" s="141" t="s">
        <v>243</v>
      </c>
      <c r="C239" s="190">
        <v>18.0</v>
      </c>
      <c r="D239" s="190" t="s">
        <v>385</v>
      </c>
      <c r="E239" s="190">
        <v>16.0</v>
      </c>
      <c r="F239" s="190" t="s">
        <v>496</v>
      </c>
    </row>
    <row r="240">
      <c r="A240" s="140"/>
      <c r="B240" s="141" t="s">
        <v>228</v>
      </c>
      <c r="C240" s="190">
        <v>31.0</v>
      </c>
      <c r="D240" s="190" t="s">
        <v>386</v>
      </c>
      <c r="E240" s="190">
        <v>43.0</v>
      </c>
      <c r="F240" s="190" t="s">
        <v>497</v>
      </c>
    </row>
    <row r="241">
      <c r="A241" s="140"/>
      <c r="B241" s="141" t="s">
        <v>220</v>
      </c>
      <c r="C241" s="190">
        <v>59.0</v>
      </c>
      <c r="D241" s="190" t="s">
        <v>387</v>
      </c>
      <c r="E241" s="190">
        <v>72.0</v>
      </c>
      <c r="F241" s="190" t="s">
        <v>498</v>
      </c>
    </row>
    <row r="242">
      <c r="A242" s="140"/>
      <c r="B242" s="141" t="s">
        <v>226</v>
      </c>
      <c r="C242" s="190">
        <v>32.0</v>
      </c>
      <c r="D242" s="190" t="s">
        <v>388</v>
      </c>
      <c r="E242" s="190">
        <v>38.0</v>
      </c>
      <c r="F242" s="190" t="s">
        <v>499</v>
      </c>
    </row>
    <row r="243">
      <c r="A243" s="140"/>
      <c r="B243" s="141" t="s">
        <v>216</v>
      </c>
      <c r="C243" s="190">
        <v>152.0</v>
      </c>
      <c r="D243" s="190" t="s">
        <v>389</v>
      </c>
      <c r="E243" s="190">
        <v>161.0</v>
      </c>
      <c r="F243" s="190" t="s">
        <v>500</v>
      </c>
    </row>
    <row r="244">
      <c r="A244" s="140"/>
      <c r="B244" s="141" t="s">
        <v>229</v>
      </c>
      <c r="C244" s="190">
        <v>23.0</v>
      </c>
      <c r="D244" s="190" t="s">
        <v>390</v>
      </c>
      <c r="E244" s="190">
        <v>23.0</v>
      </c>
      <c r="F244" s="190" t="s">
        <v>501</v>
      </c>
    </row>
    <row r="245">
      <c r="A245" s="140"/>
      <c r="B245" s="141" t="s">
        <v>250</v>
      </c>
      <c r="C245" s="190">
        <v>2.0</v>
      </c>
      <c r="D245" s="190" t="s">
        <v>391</v>
      </c>
      <c r="E245" s="190">
        <v>3.0</v>
      </c>
      <c r="F245" s="190" t="s">
        <v>502</v>
      </c>
    </row>
    <row r="246">
      <c r="A246" s="140"/>
      <c r="B246" s="143" t="s">
        <v>240</v>
      </c>
      <c r="C246" s="190">
        <v>19.0</v>
      </c>
      <c r="D246" s="190" t="s">
        <v>392</v>
      </c>
      <c r="E246" s="190">
        <v>21.0</v>
      </c>
      <c r="F246" s="190" t="s">
        <v>503</v>
      </c>
    </row>
    <row r="247">
      <c r="A247" s="140"/>
      <c r="B247" s="141" t="s">
        <v>237</v>
      </c>
      <c r="C247" s="190">
        <v>11.0</v>
      </c>
      <c r="D247" s="190" t="s">
        <v>393</v>
      </c>
      <c r="E247" s="190">
        <v>12.0</v>
      </c>
      <c r="F247" s="190" t="s">
        <v>504</v>
      </c>
    </row>
  </sheetData>
  <mergeCells count="13">
    <mergeCell ref="E63:G66"/>
    <mergeCell ref="F67:N108"/>
    <mergeCell ref="A112:D112"/>
    <mergeCell ref="B121:G121"/>
    <mergeCell ref="A158:A196"/>
    <mergeCell ref="A199:A247"/>
    <mergeCell ref="A2:G3"/>
    <mergeCell ref="A8:G9"/>
    <mergeCell ref="C14:E14"/>
    <mergeCell ref="F14:G14"/>
    <mergeCell ref="H14:I14"/>
    <mergeCell ref="A57:G58"/>
    <mergeCell ref="A67:D67"/>
  </mergeCells>
  <conditionalFormatting sqref="F11:G12 F60:G61 F5:G6">
    <cfRule type="cellIs" dxfId="0" priority="1" operator="greaterThanOrEqual">
      <formula>"100%"</formula>
    </cfRule>
  </conditionalFormatting>
  <conditionalFormatting sqref="F60:G61 F11:G12 F5:G6">
    <cfRule type="cellIs" dxfId="1" priority="2" operator="lessThanOrEqual">
      <formula>"99%"</formula>
    </cfRule>
  </conditionalFormatting>
  <conditionalFormatting sqref="B107:D107 B54:D54">
    <cfRule type="cellIs" dxfId="0" priority="3" operator="greaterThanOrEqual">
      <formula>"100%"</formula>
    </cfRule>
  </conditionalFormatting>
  <conditionalFormatting sqref="B107:D107 B54:D54">
    <cfRule type="cellIs" dxfId="1" priority="4" operator="lessThanOrEqual">
      <formula>"99%"</formula>
    </cfRule>
  </conditionalFormatting>
  <conditionalFormatting sqref="B54:D54">
    <cfRule type="notContainsBlanks" dxfId="3" priority="5">
      <formula>LEN(TRIM(B54))&gt;0</formula>
    </cfRule>
  </conditionalFormatting>
  <conditionalFormatting sqref="C199:C247">
    <cfRule type="cellIs" dxfId="2" priority="6" operator="greaterThan">
      <formula>$E199</formula>
    </cfRule>
  </conditionalFormatting>
  <conditionalFormatting sqref="C199:C247">
    <cfRule type="cellIs" dxfId="1" priority="7" operator="lessThan">
      <formula>$E199</formula>
    </cfRule>
  </conditionalFormatting>
  <conditionalFormatting sqref="E199:E247">
    <cfRule type="cellIs" dxfId="2" priority="8" operator="greaterThan">
      <formula>$C199</formula>
    </cfRule>
  </conditionalFormatting>
  <conditionalFormatting sqref="E199:E247">
    <cfRule type="cellIs" dxfId="1" priority="9" operator="lessThan">
      <formula>$C199</formula>
    </cfRule>
  </conditionalFormatting>
  <conditionalFormatting sqref="J171">
    <cfRule type="notContainsBlanks" dxfId="3" priority="10">
      <formula>LEN(TRIM(J171))&gt;0</formula>
    </cfRule>
  </conditionalFormatting>
  <conditionalFormatting sqref="E159:E196">
    <cfRule type="cellIs" dxfId="2" priority="11" operator="greaterThan">
      <formula>$C159</formula>
    </cfRule>
  </conditionalFormatting>
  <conditionalFormatting sqref="E159:E196">
    <cfRule type="cellIs" dxfId="1" priority="12" operator="lessThan">
      <formula>$C159</formula>
    </cfRule>
  </conditionalFormatting>
  <conditionalFormatting sqref="C159:C196">
    <cfRule type="cellIs" dxfId="2" priority="13" operator="greaterThan">
      <formula>$E159</formula>
    </cfRule>
  </conditionalFormatting>
  <conditionalFormatting sqref="C159:C196">
    <cfRule type="cellIs" dxfId="4" priority="14" operator="lessThan">
      <formula>$E159</formula>
    </cfRule>
  </conditionalFormatting>
  <conditionalFormatting sqref="C199:C247">
    <cfRule type="notContainsBlanks" dxfId="3" priority="15">
      <formula>LEN(TRIM(C199))&gt;0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3.5"/>
    <col customWidth="1" min="3" max="3" width="21.88"/>
    <col customWidth="1" min="4" max="4" width="27.75"/>
    <col customWidth="1" min="7" max="7" width="36.0"/>
    <col customWidth="1" min="8" max="8" width="20.13"/>
    <col customWidth="1" min="9" max="9" width="17.75"/>
    <col customWidth="1" min="10" max="10" width="26.0"/>
    <col customWidth="1" min="19" max="19" width="21.25"/>
    <col customWidth="1" min="21" max="21" width="20.88"/>
  </cols>
  <sheetData>
    <row r="3">
      <c r="J3" s="145" t="s">
        <v>257</v>
      </c>
    </row>
    <row r="43">
      <c r="O43" s="146" t="s">
        <v>258</v>
      </c>
    </row>
    <row r="49" ht="22.5" customHeight="1"/>
    <row r="66">
      <c r="A66" s="2" t="s">
        <v>259</v>
      </c>
      <c r="B66" s="3"/>
      <c r="C66" s="3"/>
      <c r="D66" s="4"/>
    </row>
    <row r="67">
      <c r="A67" s="6"/>
      <c r="B67" s="7"/>
      <c r="C67" s="7"/>
      <c r="D67" s="8"/>
    </row>
    <row r="68">
      <c r="A68" s="24"/>
      <c r="B68" s="152" t="s">
        <v>71</v>
      </c>
      <c r="C68" s="152" t="s">
        <v>75</v>
      </c>
      <c r="D68" s="10" t="s">
        <v>505</v>
      </c>
    </row>
    <row r="69">
      <c r="A69" s="9" t="s">
        <v>261</v>
      </c>
      <c r="B69" s="207">
        <v>6418.0</v>
      </c>
      <c r="C69" s="207">
        <v>12706.0</v>
      </c>
      <c r="D69" s="15">
        <f t="shared" ref="D69:D76" si="1">C69/B69-100%</f>
        <v>0.9797444687</v>
      </c>
    </row>
    <row r="70">
      <c r="A70" s="9" t="s">
        <v>262</v>
      </c>
      <c r="B70" s="207">
        <v>54766.0</v>
      </c>
      <c r="C70" s="207">
        <v>96316.0</v>
      </c>
      <c r="D70" s="15">
        <f t="shared" si="1"/>
        <v>0.7586823942</v>
      </c>
    </row>
    <row r="71">
      <c r="A71" s="9" t="s">
        <v>263</v>
      </c>
      <c r="B71" s="207">
        <v>181.0</v>
      </c>
      <c r="C71" s="207">
        <v>287.0</v>
      </c>
      <c r="D71" s="149">
        <f t="shared" si="1"/>
        <v>0.5856353591</v>
      </c>
    </row>
    <row r="72">
      <c r="A72" s="9" t="s">
        <v>264</v>
      </c>
      <c r="B72" s="207">
        <v>3.0</v>
      </c>
      <c r="C72" s="207">
        <v>7.0</v>
      </c>
      <c r="D72" s="15">
        <f t="shared" si="1"/>
        <v>1.333333333</v>
      </c>
    </row>
    <row r="73">
      <c r="A73" s="9" t="s">
        <v>265</v>
      </c>
      <c r="B73" s="207">
        <v>100.0</v>
      </c>
      <c r="C73" s="207">
        <v>110.0</v>
      </c>
      <c r="D73" s="15">
        <f t="shared" si="1"/>
        <v>0.1</v>
      </c>
    </row>
    <row r="74">
      <c r="A74" s="9" t="s">
        <v>266</v>
      </c>
      <c r="B74" s="207">
        <v>0.0</v>
      </c>
      <c r="C74" s="207">
        <v>134.0</v>
      </c>
      <c r="D74" s="15" t="str">
        <f t="shared" si="1"/>
        <v>#DIV/0!</v>
      </c>
    </row>
    <row r="75">
      <c r="A75" s="9" t="s">
        <v>267</v>
      </c>
      <c r="B75" s="207">
        <v>2.0</v>
      </c>
      <c r="C75" s="207">
        <v>5.0</v>
      </c>
      <c r="D75" s="149">
        <f t="shared" si="1"/>
        <v>1.5</v>
      </c>
    </row>
    <row r="76">
      <c r="A76" s="9" t="s">
        <v>268</v>
      </c>
      <c r="B76" s="207">
        <v>10.0</v>
      </c>
      <c r="C76" s="207">
        <v>10.0</v>
      </c>
      <c r="D76" s="15">
        <f t="shared" si="1"/>
        <v>0</v>
      </c>
    </row>
    <row r="77">
      <c r="A77" s="20" t="s">
        <v>269</v>
      </c>
      <c r="B77" s="150">
        <f>9080/9018-100%</f>
        <v>0.006875138612</v>
      </c>
      <c r="C77" s="150">
        <f>9179/9080-100%</f>
        <v>0.0109030837</v>
      </c>
      <c r="D77" s="15">
        <f>C77-B77</f>
        <v>0.004027945089</v>
      </c>
    </row>
    <row r="82">
      <c r="A82" s="2" t="s">
        <v>270</v>
      </c>
      <c r="B82" s="3"/>
      <c r="C82" s="3"/>
      <c r="D82" s="4"/>
      <c r="G82" s="151"/>
    </row>
    <row r="83">
      <c r="A83" s="6"/>
      <c r="B83" s="7"/>
      <c r="C83" s="7"/>
      <c r="D83" s="8"/>
    </row>
    <row r="84">
      <c r="A84" s="24"/>
      <c r="B84" s="152" t="s">
        <v>398</v>
      </c>
      <c r="C84" s="152" t="s">
        <v>395</v>
      </c>
      <c r="D84" s="22" t="s">
        <v>397</v>
      </c>
      <c r="G84" s="5"/>
      <c r="H84" s="153"/>
      <c r="I84" s="153"/>
      <c r="J84" s="154"/>
    </row>
    <row r="85">
      <c r="A85" s="20" t="s">
        <v>273</v>
      </c>
      <c r="B85" s="152">
        <v>2295.0</v>
      </c>
      <c r="C85" s="152">
        <v>3471.0</v>
      </c>
      <c r="D85" s="155">
        <f t="shared" ref="D85:D93" si="2">C85/B85-100%</f>
        <v>0.5124183007</v>
      </c>
      <c r="G85" s="156"/>
      <c r="H85" s="153"/>
      <c r="I85" s="153"/>
      <c r="J85" s="157"/>
    </row>
    <row r="86">
      <c r="A86" s="20" t="s">
        <v>274</v>
      </c>
      <c r="B86" s="152">
        <v>291.0</v>
      </c>
      <c r="C86" s="152">
        <v>390.0</v>
      </c>
      <c r="D86" s="155">
        <f t="shared" si="2"/>
        <v>0.3402061856</v>
      </c>
      <c r="G86" s="156"/>
      <c r="H86" s="153"/>
      <c r="I86" s="153"/>
      <c r="J86" s="157"/>
    </row>
    <row r="87">
      <c r="A87" s="20" t="s">
        <v>275</v>
      </c>
      <c r="B87" s="152">
        <v>12.68</v>
      </c>
      <c r="C87" s="152">
        <v>11.24</v>
      </c>
      <c r="D87" s="23">
        <f t="shared" si="2"/>
        <v>-0.1135646688</v>
      </c>
      <c r="G87" s="156"/>
      <c r="H87" s="153"/>
      <c r="I87" s="153"/>
      <c r="J87" s="157"/>
    </row>
    <row r="88">
      <c r="A88" s="20" t="s">
        <v>276</v>
      </c>
      <c r="B88" s="152">
        <v>16800.0</v>
      </c>
      <c r="C88" s="152">
        <v>18900.0</v>
      </c>
      <c r="D88" s="23">
        <f t="shared" si="2"/>
        <v>0.125</v>
      </c>
      <c r="G88" s="156"/>
      <c r="H88" s="153"/>
      <c r="I88" s="153"/>
      <c r="J88" s="157"/>
    </row>
    <row r="89">
      <c r="A89" s="20" t="s">
        <v>277</v>
      </c>
      <c r="B89" s="152">
        <v>57.73</v>
      </c>
      <c r="C89" s="152">
        <v>48.46</v>
      </c>
      <c r="D89" s="23">
        <f t="shared" si="2"/>
        <v>-0.1605750909</v>
      </c>
      <c r="G89" s="156"/>
      <c r="H89" s="153"/>
      <c r="I89" s="153"/>
      <c r="J89" s="157"/>
    </row>
    <row r="90">
      <c r="A90" s="20" t="s">
        <v>278</v>
      </c>
      <c r="B90" s="152">
        <v>4.41</v>
      </c>
      <c r="C90" s="152">
        <v>3.9</v>
      </c>
      <c r="D90" s="23">
        <f t="shared" si="2"/>
        <v>-0.1156462585</v>
      </c>
      <c r="G90" s="156"/>
      <c r="H90" s="153"/>
      <c r="I90" s="153"/>
      <c r="J90" s="157"/>
    </row>
    <row r="91">
      <c r="A91" s="20" t="s">
        <v>279</v>
      </c>
      <c r="B91" s="152">
        <v>82.13</v>
      </c>
      <c r="C91" s="152">
        <v>50.0</v>
      </c>
      <c r="D91" s="23">
        <f t="shared" si="2"/>
        <v>-0.3912090588</v>
      </c>
      <c r="G91" s="156"/>
      <c r="H91" s="153"/>
      <c r="I91" s="153"/>
      <c r="J91" s="157"/>
    </row>
    <row r="92">
      <c r="A92" s="20" t="s">
        <v>280</v>
      </c>
      <c r="B92" s="152">
        <v>70.29</v>
      </c>
      <c r="C92" s="152">
        <v>96.92</v>
      </c>
      <c r="D92" s="23">
        <f t="shared" si="2"/>
        <v>0.3788590127</v>
      </c>
      <c r="G92" s="154"/>
      <c r="H92" s="153"/>
      <c r="I92" s="153"/>
      <c r="J92" s="157"/>
    </row>
    <row r="93">
      <c r="A93" s="20" t="s">
        <v>281</v>
      </c>
      <c r="B93" s="152">
        <v>239.0</v>
      </c>
      <c r="C93" s="152">
        <v>195.0</v>
      </c>
      <c r="D93" s="23">
        <f t="shared" si="2"/>
        <v>-0.1841004184</v>
      </c>
    </row>
    <row r="94">
      <c r="A94" s="156"/>
      <c r="B94" s="153"/>
      <c r="C94" s="153"/>
      <c r="D94" s="157"/>
      <c r="G94" s="156"/>
      <c r="H94" s="156"/>
      <c r="I94" s="153"/>
      <c r="J94" s="157"/>
    </row>
    <row r="95">
      <c r="A95" s="156"/>
      <c r="B95" s="153"/>
      <c r="C95" s="153"/>
      <c r="D95" s="157"/>
      <c r="G95" s="156"/>
      <c r="H95" s="156"/>
      <c r="I95" s="153"/>
      <c r="J95" s="157"/>
    </row>
    <row r="96">
      <c r="A96" s="156"/>
      <c r="B96" s="153"/>
      <c r="C96" s="153"/>
      <c r="D96" s="157"/>
    </row>
    <row r="97">
      <c r="A97" s="156"/>
      <c r="B97" s="153"/>
      <c r="C97" s="153"/>
      <c r="D97" s="157"/>
      <c r="G97" s="156"/>
      <c r="H97" s="156"/>
      <c r="I97" s="153"/>
      <c r="J97" s="157"/>
    </row>
    <row r="100">
      <c r="A100" s="158" t="s">
        <v>282</v>
      </c>
      <c r="B100" s="3"/>
      <c r="C100" s="3"/>
      <c r="D100" s="4"/>
      <c r="E100" s="159"/>
      <c r="F100" s="159"/>
      <c r="G100" s="158" t="s">
        <v>283</v>
      </c>
      <c r="H100" s="3"/>
      <c r="I100" s="3"/>
      <c r="J100" s="4"/>
    </row>
    <row r="101">
      <c r="A101" s="6"/>
      <c r="B101" s="7"/>
      <c r="C101" s="7"/>
      <c r="D101" s="8"/>
      <c r="E101" s="159"/>
      <c r="F101" s="159"/>
      <c r="G101" s="6"/>
      <c r="H101" s="7"/>
      <c r="I101" s="7"/>
      <c r="J101" s="8"/>
    </row>
    <row r="102">
      <c r="A102" s="24"/>
      <c r="B102" s="152" t="s">
        <v>398</v>
      </c>
      <c r="C102" s="152" t="s">
        <v>395</v>
      </c>
      <c r="D102" s="22" t="s">
        <v>397</v>
      </c>
      <c r="E102" s="159"/>
      <c r="F102" s="159"/>
      <c r="G102" s="24"/>
      <c r="H102" s="152" t="s">
        <v>398</v>
      </c>
      <c r="I102" s="152" t="s">
        <v>395</v>
      </c>
      <c r="J102" s="22" t="s">
        <v>397</v>
      </c>
    </row>
    <row r="103">
      <c r="A103" s="20" t="s">
        <v>273</v>
      </c>
      <c r="B103" s="152">
        <v>280239.0</v>
      </c>
      <c r="C103" s="152">
        <v>28766.0</v>
      </c>
      <c r="D103" s="160">
        <f t="shared" ref="D103:D111" si="3">C103/B103-100%</f>
        <v>-0.8973519032</v>
      </c>
      <c r="E103" s="159"/>
      <c r="F103" s="159"/>
      <c r="G103" s="20" t="s">
        <v>273</v>
      </c>
      <c r="H103" s="152">
        <v>51216.0</v>
      </c>
      <c r="I103" s="152">
        <v>42029.0</v>
      </c>
      <c r="J103" s="160">
        <f t="shared" ref="J103:J110" si="4">I103/H103-100%</f>
        <v>-0.1793775383</v>
      </c>
    </row>
    <row r="104">
      <c r="A104" s="20" t="s">
        <v>274</v>
      </c>
      <c r="B104" s="152">
        <v>12256.0</v>
      </c>
      <c r="C104" s="152">
        <v>1971.0</v>
      </c>
      <c r="D104" s="160">
        <f t="shared" si="3"/>
        <v>-0.8391808094</v>
      </c>
      <c r="E104" s="159"/>
      <c r="F104" s="159"/>
      <c r="G104" s="20" t="s">
        <v>274</v>
      </c>
      <c r="H104" s="152">
        <v>4675.0</v>
      </c>
      <c r="I104" s="152">
        <v>5059.0</v>
      </c>
      <c r="J104" s="160">
        <f t="shared" si="4"/>
        <v>0.08213903743</v>
      </c>
    </row>
    <row r="105">
      <c r="A105" s="20" t="s">
        <v>275</v>
      </c>
      <c r="B105" s="152">
        <v>4.37</v>
      </c>
      <c r="C105" s="152">
        <v>6.85</v>
      </c>
      <c r="D105" s="160">
        <f t="shared" si="3"/>
        <v>0.5675057208</v>
      </c>
      <c r="E105" s="159"/>
      <c r="F105" s="159"/>
      <c r="G105" s="20" t="s">
        <v>275</v>
      </c>
      <c r="H105" s="152">
        <v>9.13</v>
      </c>
      <c r="I105" s="152">
        <v>12.04</v>
      </c>
      <c r="J105" s="160">
        <f t="shared" si="4"/>
        <v>0.3187294633</v>
      </c>
    </row>
    <row r="106">
      <c r="A106" s="20" t="s">
        <v>276</v>
      </c>
      <c r="B106" s="152">
        <v>55762.0</v>
      </c>
      <c r="C106" s="152">
        <v>55506.0</v>
      </c>
      <c r="D106" s="160">
        <f t="shared" si="3"/>
        <v>-0.004590940067</v>
      </c>
      <c r="E106" s="159"/>
      <c r="F106" s="159"/>
      <c r="G106" s="20" t="s">
        <v>276</v>
      </c>
      <c r="H106" s="152">
        <v>8032.0</v>
      </c>
      <c r="I106" s="152">
        <v>8608.0</v>
      </c>
      <c r="J106" s="160">
        <f t="shared" si="4"/>
        <v>0.07171314741</v>
      </c>
    </row>
    <row r="107">
      <c r="A107" s="20" t="s">
        <v>277</v>
      </c>
      <c r="B107" s="152">
        <v>4.55</v>
      </c>
      <c r="C107" s="152">
        <v>28.16</v>
      </c>
      <c r="D107" s="160">
        <f t="shared" si="3"/>
        <v>5.189010989</v>
      </c>
      <c r="E107" s="159"/>
      <c r="F107" s="159"/>
      <c r="G107" s="20" t="s">
        <v>277</v>
      </c>
      <c r="H107" s="152">
        <v>1.72</v>
      </c>
      <c r="I107" s="152">
        <v>1.7</v>
      </c>
      <c r="J107" s="160">
        <f t="shared" si="4"/>
        <v>-0.01162790698</v>
      </c>
    </row>
    <row r="108">
      <c r="A108" s="20" t="s">
        <v>279</v>
      </c>
      <c r="B108" s="152">
        <v>6.49</v>
      </c>
      <c r="C108" s="152">
        <v>47.29</v>
      </c>
      <c r="D108" s="160">
        <f t="shared" si="3"/>
        <v>6.286594761</v>
      </c>
      <c r="E108" s="159"/>
      <c r="F108" s="159"/>
      <c r="G108" s="20" t="s">
        <v>279</v>
      </c>
      <c r="H108" s="152">
        <v>9.99</v>
      </c>
      <c r="I108" s="152">
        <v>11.96</v>
      </c>
      <c r="J108" s="160">
        <f t="shared" si="4"/>
        <v>0.1971971972</v>
      </c>
    </row>
    <row r="109">
      <c r="A109" s="20" t="s">
        <v>280</v>
      </c>
      <c r="B109" s="152">
        <v>70.14</v>
      </c>
      <c r="C109" s="152">
        <v>59.56</v>
      </c>
      <c r="D109" s="160">
        <f t="shared" si="3"/>
        <v>-0.1508411748</v>
      </c>
      <c r="E109" s="159"/>
      <c r="F109" s="159"/>
      <c r="G109" s="20" t="s">
        <v>280</v>
      </c>
      <c r="H109" s="152">
        <v>17.2</v>
      </c>
      <c r="I109" s="152">
        <v>14.23</v>
      </c>
      <c r="J109" s="160">
        <f t="shared" si="4"/>
        <v>-0.1726744186</v>
      </c>
    </row>
    <row r="110">
      <c r="A110" s="20" t="s">
        <v>281</v>
      </c>
      <c r="B110" s="152">
        <v>795.0</v>
      </c>
      <c r="C110" s="152">
        <v>932.0</v>
      </c>
      <c r="D110" s="160">
        <f t="shared" si="3"/>
        <v>0.172327044</v>
      </c>
      <c r="E110" s="159"/>
      <c r="F110" s="159"/>
      <c r="G110" s="20" t="s">
        <v>281</v>
      </c>
      <c r="H110" s="152">
        <v>467.0</v>
      </c>
      <c r="I110" s="152">
        <v>605.0</v>
      </c>
      <c r="J110" s="161">
        <f t="shared" si="4"/>
        <v>0.295503212</v>
      </c>
    </row>
    <row r="111">
      <c r="A111" s="20" t="s">
        <v>278</v>
      </c>
      <c r="B111" s="152">
        <v>1.51</v>
      </c>
      <c r="C111" s="152">
        <v>5.01</v>
      </c>
      <c r="D111" s="160">
        <f t="shared" si="3"/>
        <v>2.317880795</v>
      </c>
      <c r="E111" s="159"/>
      <c r="F111" s="159"/>
      <c r="G111" s="159"/>
      <c r="H111" s="159"/>
      <c r="J111" s="162"/>
    </row>
    <row r="112">
      <c r="A112" s="159"/>
      <c r="B112" s="159"/>
      <c r="C112" s="159"/>
      <c r="D112" s="159"/>
      <c r="E112" s="159"/>
      <c r="F112" s="159"/>
      <c r="G112" s="159"/>
      <c r="H112" s="159"/>
    </row>
    <row r="113">
      <c r="E113" s="159"/>
      <c r="F113" s="159"/>
      <c r="G113" s="159"/>
      <c r="H113" s="159"/>
    </row>
    <row r="114">
      <c r="A114" s="158" t="s">
        <v>286</v>
      </c>
      <c r="B114" s="3"/>
      <c r="C114" s="3"/>
      <c r="D114" s="4"/>
      <c r="E114" s="159"/>
      <c r="F114" s="159"/>
      <c r="G114" s="158" t="s">
        <v>287</v>
      </c>
      <c r="H114" s="3"/>
      <c r="I114" s="3"/>
      <c r="J114" s="4"/>
    </row>
    <row r="115">
      <c r="A115" s="6"/>
      <c r="B115" s="7"/>
      <c r="C115" s="7"/>
      <c r="D115" s="8"/>
      <c r="E115" s="159"/>
      <c r="F115" s="159"/>
      <c r="G115" s="6"/>
      <c r="H115" s="7"/>
      <c r="I115" s="7"/>
      <c r="J115" s="8"/>
    </row>
    <row r="116">
      <c r="A116" s="24"/>
      <c r="B116" s="152" t="s">
        <v>398</v>
      </c>
      <c r="C116" s="152" t="s">
        <v>398</v>
      </c>
      <c r="D116" s="22" t="s">
        <v>397</v>
      </c>
      <c r="E116" s="159"/>
      <c r="F116" s="159"/>
      <c r="G116" s="24"/>
      <c r="H116" s="152" t="s">
        <v>398</v>
      </c>
      <c r="I116" s="152" t="s">
        <v>395</v>
      </c>
      <c r="J116" s="22" t="s">
        <v>397</v>
      </c>
    </row>
    <row r="117">
      <c r="A117" s="20" t="s">
        <v>273</v>
      </c>
      <c r="B117" s="152">
        <v>100073.0</v>
      </c>
      <c r="C117" s="152">
        <v>214750.0</v>
      </c>
      <c r="D117" s="160">
        <f t="shared" ref="D117:D125" si="5">C117/B117-100%</f>
        <v>1.145933469</v>
      </c>
      <c r="E117" s="159"/>
      <c r="F117" s="159"/>
      <c r="G117" s="20" t="s">
        <v>273</v>
      </c>
      <c r="H117" s="152">
        <v>29036.0</v>
      </c>
      <c r="I117" s="152">
        <v>10035.0</v>
      </c>
      <c r="J117" s="160">
        <f t="shared" ref="J117:J124" si="6">I117/H117-100%</f>
        <v>-0.6543945447</v>
      </c>
    </row>
    <row r="118">
      <c r="A118" s="20" t="s">
        <v>274</v>
      </c>
      <c r="B118" s="152">
        <v>5104.0</v>
      </c>
      <c r="C118" s="152">
        <v>1773.0</v>
      </c>
      <c r="D118" s="160">
        <f t="shared" si="5"/>
        <v>-0.6526253918</v>
      </c>
      <c r="E118" s="159"/>
      <c r="F118" s="159"/>
      <c r="G118" s="20" t="s">
        <v>274</v>
      </c>
      <c r="H118" s="152">
        <v>1909.0</v>
      </c>
      <c r="I118" s="152">
        <v>339.0</v>
      </c>
      <c r="J118" s="160">
        <f t="shared" si="6"/>
        <v>-0.8224201152</v>
      </c>
    </row>
    <row r="119">
      <c r="A119" s="20" t="s">
        <v>275</v>
      </c>
      <c r="B119" s="152">
        <v>5.1</v>
      </c>
      <c r="C119" s="152">
        <v>0.83</v>
      </c>
      <c r="D119" s="160">
        <f t="shared" si="5"/>
        <v>-0.837254902</v>
      </c>
      <c r="G119" s="20" t="s">
        <v>275</v>
      </c>
      <c r="H119" s="152">
        <v>6.57</v>
      </c>
      <c r="I119" s="152">
        <v>3.39</v>
      </c>
      <c r="J119" s="160">
        <f t="shared" si="6"/>
        <v>-0.4840182648</v>
      </c>
    </row>
    <row r="120">
      <c r="A120" s="20" t="s">
        <v>276</v>
      </c>
      <c r="B120" s="152">
        <v>6970.0</v>
      </c>
      <c r="C120" s="152">
        <v>11553.87</v>
      </c>
      <c r="D120" s="160">
        <f t="shared" si="5"/>
        <v>0.6576571019</v>
      </c>
      <c r="G120" s="20" t="s">
        <v>276</v>
      </c>
      <c r="H120" s="152">
        <v>4195.0</v>
      </c>
      <c r="I120" s="152">
        <v>1451.69</v>
      </c>
      <c r="J120" s="160">
        <f t="shared" si="6"/>
        <v>-0.6539475566</v>
      </c>
    </row>
    <row r="121">
      <c r="A121" s="20" t="s">
        <v>277</v>
      </c>
      <c r="B121" s="152">
        <v>1.37</v>
      </c>
      <c r="C121" s="152">
        <v>6.52</v>
      </c>
      <c r="D121" s="160">
        <f t="shared" si="5"/>
        <v>3.759124088</v>
      </c>
      <c r="G121" s="20" t="s">
        <v>277</v>
      </c>
      <c r="H121" s="152">
        <v>2.2</v>
      </c>
      <c r="I121" s="152">
        <v>4.28</v>
      </c>
      <c r="J121" s="160">
        <f t="shared" si="6"/>
        <v>0.9454545455</v>
      </c>
    </row>
    <row r="122">
      <c r="A122" s="20" t="s">
        <v>279</v>
      </c>
      <c r="B122" s="152">
        <v>1.04</v>
      </c>
      <c r="C122" s="152">
        <v>4.29</v>
      </c>
      <c r="D122" s="160">
        <f t="shared" si="5"/>
        <v>3.125</v>
      </c>
      <c r="G122" s="20" t="s">
        <v>279</v>
      </c>
      <c r="H122" s="152">
        <v>0.31</v>
      </c>
      <c r="I122" s="152">
        <v>1.77</v>
      </c>
      <c r="J122" s="160">
        <f t="shared" si="6"/>
        <v>4.709677419</v>
      </c>
    </row>
    <row r="123">
      <c r="A123" s="20" t="s">
        <v>280</v>
      </c>
      <c r="B123" s="152">
        <v>131.0</v>
      </c>
      <c r="C123" s="152">
        <v>152.02</v>
      </c>
      <c r="D123" s="160">
        <f t="shared" si="5"/>
        <v>0.1604580153</v>
      </c>
      <c r="G123" s="20" t="s">
        <v>280</v>
      </c>
      <c r="H123" s="152">
        <v>699.0</v>
      </c>
      <c r="I123" s="152">
        <v>241.95</v>
      </c>
      <c r="J123" s="160">
        <f t="shared" si="6"/>
        <v>-0.6538626609</v>
      </c>
    </row>
    <row r="124">
      <c r="A124" s="20" t="s">
        <v>281</v>
      </c>
      <c r="B124" s="152">
        <v>53.0</v>
      </c>
      <c r="C124" s="152">
        <v>76.0</v>
      </c>
      <c r="D124" s="160">
        <f t="shared" si="5"/>
        <v>0.4339622642</v>
      </c>
      <c r="G124" s="20" t="s">
        <v>281</v>
      </c>
      <c r="H124" s="152">
        <v>6.0</v>
      </c>
      <c r="I124" s="152">
        <v>6.0</v>
      </c>
      <c r="J124" s="161">
        <f t="shared" si="6"/>
        <v>0</v>
      </c>
    </row>
    <row r="125">
      <c r="A125" s="20" t="s">
        <v>278</v>
      </c>
      <c r="B125" s="152">
        <v>1.04</v>
      </c>
      <c r="C125" s="152">
        <v>1.18</v>
      </c>
      <c r="D125" s="160">
        <f t="shared" si="5"/>
        <v>0.1346153846</v>
      </c>
      <c r="J125" s="162"/>
    </row>
    <row r="139">
      <c r="A139" s="5"/>
      <c r="B139" s="163"/>
      <c r="C139" s="163"/>
      <c r="D139" s="163"/>
      <c r="E139" s="163"/>
      <c r="F139" s="163"/>
      <c r="G139" s="163"/>
    </row>
    <row r="140">
      <c r="A140" s="164"/>
      <c r="B140" s="164"/>
      <c r="C140" s="164"/>
      <c r="D140" s="164"/>
      <c r="E140" s="165"/>
      <c r="F140" s="165"/>
      <c r="G140" s="165"/>
    </row>
    <row r="141">
      <c r="A141" s="163"/>
      <c r="B141" s="163"/>
      <c r="C141" s="163"/>
      <c r="D141" s="163"/>
      <c r="E141" s="166"/>
      <c r="F141" s="166"/>
      <c r="G141" s="166"/>
    </row>
  </sheetData>
  <mergeCells count="8">
    <mergeCell ref="J3:L7"/>
    <mergeCell ref="A66:D67"/>
    <mergeCell ref="A82:D83"/>
    <mergeCell ref="G82:J83"/>
    <mergeCell ref="A100:D101"/>
    <mergeCell ref="G100:J101"/>
    <mergeCell ref="A114:D115"/>
    <mergeCell ref="G114:J115"/>
  </mergeCells>
  <conditionalFormatting sqref="D69:D77">
    <cfRule type="cellIs" dxfId="5" priority="1" operator="greaterThanOrEqual">
      <formula>"1%"</formula>
    </cfRule>
  </conditionalFormatting>
  <conditionalFormatting sqref="D69:D77">
    <cfRule type="cellIs" dxfId="1" priority="2" operator="lessThanOrEqual">
      <formula>"0%"</formula>
    </cfRule>
  </conditionalFormatting>
  <conditionalFormatting sqref="D103:D105 J103:J105 D108 J108 D110:D111 J110:J111 D117:D119 J117:J119 D122 J122 D124:D125 J124:J125">
    <cfRule type="cellIs" dxfId="0" priority="3" operator="greaterThanOrEqual">
      <formula>"1%"</formula>
    </cfRule>
  </conditionalFormatting>
  <conditionalFormatting sqref="D103:D105 J103:J105 D108 J108 D110:D111 J110:J111 D117:D119 J117:J119 D122 J122 D124:D125 J124:J125">
    <cfRule type="cellIs" dxfId="1" priority="4" operator="lessThanOrEqual">
      <formula>"0%"</formula>
    </cfRule>
  </conditionalFormatting>
  <conditionalFormatting sqref="D106:D107 J106:J107 D109 J109 D120:D121 J120:J121 D123 J123">
    <cfRule type="cellIs" dxfId="1" priority="5" operator="greaterThanOrEqual">
      <formula>"0%"</formula>
    </cfRule>
  </conditionalFormatting>
  <conditionalFormatting sqref="D106:D107 J106:J107 D109 J109 D120:D121 J120:J121 D123 J123">
    <cfRule type="cellIs" dxfId="0" priority="6" operator="lessThanOrEqual">
      <formula>"-1%"</formula>
    </cfRule>
  </conditionalFormatting>
  <conditionalFormatting sqref="D85:D87 D90:D91 D93:D94 D96:D97 D129">
    <cfRule type="cellIs" dxfId="0" priority="7" operator="greaterThanOrEqual">
      <formula>"1%"</formula>
    </cfRule>
  </conditionalFormatting>
  <conditionalFormatting sqref="D85:D87 D90:D91 D93:D94 D96:D97 D129">
    <cfRule type="cellIs" dxfId="1" priority="8" operator="lessThanOrEqual">
      <formula>"0%"</formula>
    </cfRule>
  </conditionalFormatting>
  <conditionalFormatting sqref="D88:D89 D92 D95">
    <cfRule type="cellIs" dxfId="1" priority="9" operator="greaterThanOrEqual">
      <formula>"0%"</formula>
    </cfRule>
  </conditionalFormatting>
  <conditionalFormatting sqref="D88:D89 D92 D95">
    <cfRule type="cellIs" dxfId="0" priority="10" operator="lessThanOrEqual">
      <formula>"-1%"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6.75"/>
    <col customWidth="1" min="4" max="4" width="25.63"/>
  </cols>
  <sheetData>
    <row r="1">
      <c r="A1" s="152" t="s">
        <v>506</v>
      </c>
      <c r="B1" s="152" t="s">
        <v>507</v>
      </c>
      <c r="C1" s="152" t="s">
        <v>508</v>
      </c>
      <c r="D1" s="152" t="s">
        <v>509</v>
      </c>
      <c r="G1" s="153"/>
    </row>
    <row r="2">
      <c r="A2" s="208">
        <v>45844.0</v>
      </c>
      <c r="B2" s="152" t="s">
        <v>510</v>
      </c>
      <c r="C2" s="152" t="s">
        <v>511</v>
      </c>
      <c r="D2" s="152" t="s">
        <v>512</v>
      </c>
      <c r="F2" s="153"/>
      <c r="G2" s="153"/>
    </row>
    <row r="3">
      <c r="A3" s="208"/>
      <c r="B3" s="152"/>
      <c r="C3" s="152"/>
      <c r="D3" s="152"/>
      <c r="F3" s="153"/>
      <c r="G3" s="153"/>
    </row>
    <row r="4">
      <c r="A4" s="194"/>
      <c r="B4" s="153"/>
      <c r="C4" s="153"/>
      <c r="D4" s="153"/>
    </row>
    <row r="6">
      <c r="A6" s="167"/>
    </row>
  </sheetData>
  <mergeCells count="2">
    <mergeCell ref="G1:H1"/>
    <mergeCell ref="A6:D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6.75"/>
    <col customWidth="1" min="3" max="3" width="29.5"/>
    <col customWidth="1" min="4" max="4" width="22.88"/>
    <col customWidth="1" min="5" max="5" width="21.63"/>
    <col customWidth="1" min="6" max="6" width="20.25"/>
    <col customWidth="1" min="7" max="7" width="1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4"/>
      <c r="H2" s="5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7"/>
      <c r="D3" s="7"/>
      <c r="E3" s="7"/>
      <c r="F3" s="7"/>
      <c r="G3" s="8"/>
      <c r="H3" s="5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</v>
      </c>
      <c r="B4" s="10" t="s">
        <v>513</v>
      </c>
      <c r="C4" s="10" t="s">
        <v>514</v>
      </c>
      <c r="D4" s="10" t="s">
        <v>399</v>
      </c>
      <c r="E4" s="10" t="s">
        <v>400</v>
      </c>
      <c r="F4" s="10" t="s">
        <v>515</v>
      </c>
      <c r="G4" s="10" t="s">
        <v>516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8</v>
      </c>
      <c r="B5" s="11">
        <v>4240000.0</v>
      </c>
      <c r="C5" s="12">
        <v>4757492.0</v>
      </c>
      <c r="D5" s="11">
        <v>4200000.0</v>
      </c>
      <c r="E5" s="12">
        <v>3266666.0</v>
      </c>
      <c r="F5" s="15">
        <f t="shared" ref="F5:F6" si="1">C5/B5</f>
        <v>1.12205</v>
      </c>
      <c r="G5" s="16">
        <f t="shared" ref="G5:G6" si="2">E5/D5</f>
        <v>0.777777619</v>
      </c>
      <c r="H5" s="5"/>
      <c r="I5" s="17"/>
      <c r="J5" s="18"/>
      <c r="K5" s="19"/>
      <c r="L5" s="1"/>
      <c r="M5" s="17"/>
      <c r="N5" s="18"/>
      <c r="O5" s="1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11">
        <v>8400000.0</v>
      </c>
      <c r="C6" s="12">
        <v>8577656.0</v>
      </c>
      <c r="D6" s="11">
        <v>8200000.0</v>
      </c>
      <c r="E6" s="12">
        <v>5998166.0</v>
      </c>
      <c r="F6" s="15">
        <f t="shared" si="1"/>
        <v>1.021149524</v>
      </c>
      <c r="G6" s="16">
        <f t="shared" si="2"/>
        <v>0.7314836585</v>
      </c>
      <c r="H6" s="5"/>
      <c r="I6" s="17"/>
      <c r="J6" s="18"/>
      <c r="K6" s="19"/>
      <c r="L6" s="1"/>
      <c r="M6" s="17"/>
      <c r="N6" s="18"/>
      <c r="O6" s="1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5"/>
      <c r="C7" s="5"/>
      <c r="D7" s="5"/>
      <c r="E7" s="5"/>
      <c r="F7" s="5"/>
      <c r="G7" s="5"/>
      <c r="H7" s="5"/>
      <c r="I7" s="17"/>
      <c r="J7" s="18"/>
      <c r="K7" s="19"/>
      <c r="L7" s="1"/>
      <c r="M7" s="17"/>
      <c r="N7" s="18"/>
      <c r="O7" s="1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/>
      <c r="C8" s="3"/>
      <c r="D8" s="3"/>
      <c r="E8" s="3"/>
      <c r="F8" s="3"/>
      <c r="G8" s="4"/>
      <c r="H8" s="5"/>
      <c r="I8" s="17"/>
      <c r="J8" s="18"/>
      <c r="K8" s="19"/>
      <c r="L8" s="1"/>
      <c r="M8" s="17"/>
      <c r="N8" s="18"/>
      <c r="O8" s="1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7"/>
      <c r="E9" s="7"/>
      <c r="F9" s="7"/>
      <c r="G9" s="8"/>
      <c r="H9" s="5"/>
      <c r="I9" s="17"/>
      <c r="J9" s="18"/>
      <c r="K9" s="19"/>
      <c r="L9" s="1"/>
      <c r="M9" s="17"/>
      <c r="N9" s="18"/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 t="s">
        <v>1</v>
      </c>
      <c r="B10" s="10" t="s">
        <v>513</v>
      </c>
      <c r="C10" s="10" t="s">
        <v>514</v>
      </c>
      <c r="D10" s="10" t="s">
        <v>399</v>
      </c>
      <c r="E10" s="10" t="s">
        <v>400</v>
      </c>
      <c r="F10" s="10" t="s">
        <v>517</v>
      </c>
      <c r="G10" s="9" t="s">
        <v>516</v>
      </c>
      <c r="H10" s="5"/>
      <c r="I10" s="17"/>
      <c r="K10" s="21"/>
      <c r="L10" s="1"/>
      <c r="M10" s="17"/>
      <c r="N10" s="18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8</v>
      </c>
      <c r="B11" s="22">
        <v>310.0</v>
      </c>
      <c r="C11" s="22">
        <v>278.0</v>
      </c>
      <c r="D11" s="22">
        <v>320.0</v>
      </c>
      <c r="E11" s="22">
        <v>214.0</v>
      </c>
      <c r="F11" s="23">
        <f t="shared" ref="F11:F12" si="3">C11/B11</f>
        <v>0.8967741935</v>
      </c>
      <c r="G11" s="23">
        <f t="shared" ref="G11:G12" si="4">E11/D11</f>
        <v>0.66875</v>
      </c>
      <c r="H11" s="5"/>
      <c r="I11" s="17"/>
      <c r="K11" s="21"/>
      <c r="L11" s="1"/>
      <c r="M11" s="17"/>
      <c r="N11" s="18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9</v>
      </c>
      <c r="B12" s="22">
        <v>650.0</v>
      </c>
      <c r="C12" s="22">
        <v>744.0</v>
      </c>
      <c r="D12" s="22">
        <v>760.0</v>
      </c>
      <c r="E12" s="22">
        <v>541.0</v>
      </c>
      <c r="F12" s="155">
        <f t="shared" si="3"/>
        <v>1.144615385</v>
      </c>
      <c r="G12" s="23">
        <f t="shared" si="4"/>
        <v>0.7118421053</v>
      </c>
      <c r="H12" s="5"/>
      <c r="I12" s="17"/>
      <c r="K12" s="21"/>
      <c r="L12" s="1"/>
      <c r="M12" s="17"/>
      <c r="N12" s="18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5"/>
      <c r="I13" s="17"/>
      <c r="J13" s="18"/>
      <c r="K13" s="21"/>
      <c r="L13" s="1"/>
      <c r="M13" s="17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/>
      <c r="B14" s="26" t="s">
        <v>12</v>
      </c>
      <c r="C14" s="27"/>
      <c r="D14" s="28"/>
      <c r="E14" s="26" t="s">
        <v>13</v>
      </c>
      <c r="F14" s="28"/>
      <c r="G14" s="26" t="s">
        <v>14</v>
      </c>
      <c r="H14" s="28"/>
      <c r="I14" s="209"/>
      <c r="J14" s="29"/>
      <c r="K14" s="5"/>
      <c r="L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1"/>
      <c r="B15" s="32" t="s">
        <v>15</v>
      </c>
      <c r="C15" s="32" t="s">
        <v>16</v>
      </c>
      <c r="D15" s="32" t="s">
        <v>17</v>
      </c>
      <c r="E15" s="32" t="s">
        <v>15</v>
      </c>
      <c r="F15" s="32" t="s">
        <v>16</v>
      </c>
      <c r="G15" s="32" t="s">
        <v>15</v>
      </c>
      <c r="H15" s="32" t="s">
        <v>16</v>
      </c>
      <c r="I15" s="210"/>
      <c r="J15" s="34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4">
        <v>1.0</v>
      </c>
      <c r="B16" s="45">
        <v>185837.0</v>
      </c>
      <c r="C16" s="45">
        <v>344509.0</v>
      </c>
      <c r="D16" s="45">
        <f>SUM(B16:C16)</f>
        <v>530346</v>
      </c>
      <c r="E16" s="46">
        <v>167.0</v>
      </c>
      <c r="F16" s="46">
        <v>301.0</v>
      </c>
      <c r="G16" s="45">
        <f t="shared" ref="G16:H16" si="5">B16/E16</f>
        <v>1112.796407</v>
      </c>
      <c r="H16" s="45">
        <f t="shared" si="5"/>
        <v>1144.548173</v>
      </c>
      <c r="I16" s="210"/>
      <c r="J16" s="34"/>
      <c r="K16" s="1"/>
      <c r="L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5" t="s">
        <v>29</v>
      </c>
      <c r="B17" s="50">
        <f t="shared" ref="B17:F17" si="6">SUM(B16)</f>
        <v>185837</v>
      </c>
      <c r="C17" s="50">
        <f t="shared" si="6"/>
        <v>344509</v>
      </c>
      <c r="D17" s="50">
        <f t="shared" si="6"/>
        <v>530346</v>
      </c>
      <c r="E17" s="57">
        <f t="shared" si="6"/>
        <v>167</v>
      </c>
      <c r="F17" s="57">
        <f t="shared" si="6"/>
        <v>301</v>
      </c>
      <c r="G17" s="50">
        <f t="shared" ref="G17:H17" si="7">B17/E17</f>
        <v>1112.796407</v>
      </c>
      <c r="H17" s="50">
        <f t="shared" si="7"/>
        <v>1144.548173</v>
      </c>
      <c r="I17" s="210"/>
      <c r="J17" s="34"/>
      <c r="K17" s="1"/>
      <c r="L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2">
        <v>2.0</v>
      </c>
      <c r="B18" s="195">
        <v>94612.0</v>
      </c>
      <c r="C18" s="36">
        <v>215209.0</v>
      </c>
      <c r="D18" s="36">
        <f t="shared" ref="D18:D24" si="9">SUM(B18:C18)</f>
        <v>309821</v>
      </c>
      <c r="E18" s="37">
        <v>83.0</v>
      </c>
      <c r="F18" s="37">
        <v>177.0</v>
      </c>
      <c r="G18" s="36">
        <f t="shared" ref="G18:H18" si="8">B18/E18</f>
        <v>1139.903614</v>
      </c>
      <c r="H18" s="36">
        <f t="shared" si="8"/>
        <v>1215.870056</v>
      </c>
      <c r="I18" s="210"/>
      <c r="J18" s="34"/>
      <c r="K18" s="1"/>
      <c r="L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2">
        <v>3.0</v>
      </c>
      <c r="B19" s="195">
        <v>95694.0</v>
      </c>
      <c r="C19" s="36">
        <v>217869.0</v>
      </c>
      <c r="D19" s="36">
        <f t="shared" si="9"/>
        <v>313563</v>
      </c>
      <c r="E19" s="37">
        <v>78.0</v>
      </c>
      <c r="F19" s="37">
        <v>195.0</v>
      </c>
      <c r="G19" s="36">
        <f t="shared" ref="G19:H19" si="10">B19/E19</f>
        <v>1226.846154</v>
      </c>
      <c r="H19" s="36">
        <f t="shared" si="10"/>
        <v>1117.276923</v>
      </c>
      <c r="I19" s="75"/>
      <c r="J19" s="43" t="s">
        <v>15</v>
      </c>
      <c r="K19" s="32" t="s">
        <v>16</v>
      </c>
      <c r="L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2">
        <v>4.0</v>
      </c>
      <c r="B20" s="195">
        <v>96403.0</v>
      </c>
      <c r="C20" s="195">
        <v>174332.0</v>
      </c>
      <c r="D20" s="195">
        <f t="shared" si="9"/>
        <v>270735</v>
      </c>
      <c r="E20" s="37">
        <v>85.0</v>
      </c>
      <c r="F20" s="37">
        <v>183.0</v>
      </c>
      <c r="G20" s="36">
        <f t="shared" ref="G20:H20" si="11">B20/E20</f>
        <v>1134.152941</v>
      </c>
      <c r="H20" s="36">
        <f t="shared" si="11"/>
        <v>952.6338798</v>
      </c>
      <c r="I20" s="33" t="s">
        <v>21</v>
      </c>
      <c r="J20" s="36">
        <f t="shared" ref="J20:K20" si="12">SUM(B18:B21)</f>
        <v>402324</v>
      </c>
      <c r="K20" s="36">
        <f t="shared" si="12"/>
        <v>841205</v>
      </c>
      <c r="L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2">
        <v>5.0</v>
      </c>
      <c r="B21" s="36">
        <v>115615.0</v>
      </c>
      <c r="C21" s="36">
        <v>233795.0</v>
      </c>
      <c r="D21" s="36">
        <f t="shared" si="9"/>
        <v>349410</v>
      </c>
      <c r="E21" s="37">
        <v>86.0</v>
      </c>
      <c r="F21" s="37">
        <v>203.0</v>
      </c>
      <c r="G21" s="36">
        <f t="shared" ref="G21:H21" si="13">B21/E21</f>
        <v>1344.360465</v>
      </c>
      <c r="H21" s="36">
        <f t="shared" si="13"/>
        <v>1151.699507</v>
      </c>
      <c r="I21" s="33" t="s">
        <v>23</v>
      </c>
      <c r="J21" s="36">
        <f t="shared" ref="J21:K21" si="14">SUM(B22:B24)</f>
        <v>476673</v>
      </c>
      <c r="K21" s="36">
        <f t="shared" si="14"/>
        <v>804853</v>
      </c>
      <c r="L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4">
        <v>6.0</v>
      </c>
      <c r="B22" s="45">
        <v>162392.0</v>
      </c>
      <c r="C22" s="45">
        <v>307675.0</v>
      </c>
      <c r="D22" s="45">
        <f t="shared" si="9"/>
        <v>470067</v>
      </c>
      <c r="E22" s="46">
        <v>119.0</v>
      </c>
      <c r="F22" s="46">
        <v>261.0</v>
      </c>
      <c r="G22" s="45">
        <f t="shared" ref="G22:H22" si="15">B22/E22</f>
        <v>1364.638655</v>
      </c>
      <c r="H22" s="45">
        <f t="shared" si="15"/>
        <v>1178.831418</v>
      </c>
      <c r="I22" s="33" t="s">
        <v>17</v>
      </c>
      <c r="J22" s="36">
        <f t="shared" ref="J22:K22" si="16">SUM(J20:J21)</f>
        <v>878997</v>
      </c>
      <c r="K22" s="36">
        <f t="shared" si="16"/>
        <v>1646058</v>
      </c>
      <c r="L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4">
        <v>7.0</v>
      </c>
      <c r="B23" s="45">
        <v>161434.0</v>
      </c>
      <c r="C23" s="45">
        <v>268675.0</v>
      </c>
      <c r="D23" s="45">
        <f t="shared" si="9"/>
        <v>430109</v>
      </c>
      <c r="E23" s="46">
        <v>125.0</v>
      </c>
      <c r="F23" s="46">
        <v>218.0</v>
      </c>
      <c r="G23" s="45">
        <f t="shared" ref="G23:H23" si="17">B23/E23</f>
        <v>1291.472</v>
      </c>
      <c r="H23" s="45">
        <f t="shared" si="17"/>
        <v>1232.454128</v>
      </c>
      <c r="I23" s="33" t="s">
        <v>26</v>
      </c>
      <c r="J23" s="48">
        <f t="shared" ref="J23:K23" si="18">J20/J21</f>
        <v>0.8440251493</v>
      </c>
      <c r="K23" s="48">
        <f t="shared" si="18"/>
        <v>1.045166012</v>
      </c>
      <c r="L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4">
        <v>8.0</v>
      </c>
      <c r="B24" s="45">
        <v>152847.0</v>
      </c>
      <c r="C24" s="45">
        <v>228503.0</v>
      </c>
      <c r="D24" s="45">
        <f t="shared" si="9"/>
        <v>381350</v>
      </c>
      <c r="E24" s="46">
        <v>120.0</v>
      </c>
      <c r="F24" s="46">
        <v>211.0</v>
      </c>
      <c r="G24" s="45">
        <f t="shared" ref="G24:H24" si="19">B24/E24</f>
        <v>1273.725</v>
      </c>
      <c r="H24" s="45">
        <f t="shared" si="19"/>
        <v>1082.952607</v>
      </c>
      <c r="I24" s="33" t="s">
        <v>28</v>
      </c>
      <c r="J24" s="48">
        <f t="shared" ref="J24:K24" si="20">1-J20/J21</f>
        <v>0.1559748507</v>
      </c>
      <c r="K24" s="48">
        <f t="shared" si="20"/>
        <v>-0.04516601168</v>
      </c>
      <c r="L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75" t="s">
        <v>29</v>
      </c>
      <c r="B25" s="50">
        <f t="shared" ref="B25:F25" si="21">SUM(B18:B24)</f>
        <v>878997</v>
      </c>
      <c r="C25" s="50">
        <f t="shared" si="21"/>
        <v>1646058</v>
      </c>
      <c r="D25" s="50">
        <f t="shared" si="21"/>
        <v>2525055</v>
      </c>
      <c r="E25" s="57">
        <f t="shared" si="21"/>
        <v>696</v>
      </c>
      <c r="F25" s="57">
        <f t="shared" si="21"/>
        <v>1448</v>
      </c>
      <c r="G25" s="50">
        <f t="shared" ref="G25:H25" si="22">B25/E25</f>
        <v>1262.926724</v>
      </c>
      <c r="H25" s="50">
        <f t="shared" si="22"/>
        <v>1136.780387</v>
      </c>
      <c r="I25" s="210"/>
      <c r="J25" s="53"/>
      <c r="K25" s="53"/>
      <c r="L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2">
        <v>9.0</v>
      </c>
      <c r="B26" s="36">
        <v>142186.0</v>
      </c>
      <c r="C26" s="36">
        <v>237819.0</v>
      </c>
      <c r="D26" s="36">
        <f t="shared" ref="D26:D32" si="24">SUM(B26:C26)</f>
        <v>380005</v>
      </c>
      <c r="E26" s="37">
        <v>107.0</v>
      </c>
      <c r="F26" s="37">
        <v>221.0</v>
      </c>
      <c r="G26" s="36">
        <f t="shared" ref="G26:H26" si="23">B26/E26</f>
        <v>1328.841121</v>
      </c>
      <c r="H26" s="38">
        <f t="shared" si="23"/>
        <v>1076.104072</v>
      </c>
      <c r="I26" s="211"/>
      <c r="J26" s="52"/>
      <c r="K26" s="52"/>
      <c r="L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2">
        <v>10.0</v>
      </c>
      <c r="B27" s="36">
        <v>139922.0</v>
      </c>
      <c r="C27" s="36">
        <v>230986.0</v>
      </c>
      <c r="D27" s="36">
        <f t="shared" si="24"/>
        <v>370908</v>
      </c>
      <c r="E27" s="37">
        <v>108.0</v>
      </c>
      <c r="F27" s="37">
        <v>215.0</v>
      </c>
      <c r="G27" s="36">
        <f t="shared" ref="G27:H27" si="25">B27/E27</f>
        <v>1295.574074</v>
      </c>
      <c r="H27" s="38">
        <f t="shared" si="25"/>
        <v>1074.353488</v>
      </c>
      <c r="I27" s="75"/>
      <c r="J27" s="56" t="s">
        <v>15</v>
      </c>
      <c r="K27" s="56" t="s">
        <v>16</v>
      </c>
      <c r="L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2">
        <v>11.0</v>
      </c>
      <c r="B28" s="36">
        <v>174283.0</v>
      </c>
      <c r="C28" s="36">
        <v>308852.0</v>
      </c>
      <c r="D28" s="36">
        <f t="shared" si="24"/>
        <v>483135</v>
      </c>
      <c r="E28" s="37">
        <v>131.0</v>
      </c>
      <c r="F28" s="37">
        <v>289.0</v>
      </c>
      <c r="G28" s="36">
        <f t="shared" ref="G28:H28" si="26">B28/E28</f>
        <v>1330.40458</v>
      </c>
      <c r="H28" s="38">
        <f t="shared" si="26"/>
        <v>1068.692042</v>
      </c>
      <c r="I28" s="33" t="s">
        <v>21</v>
      </c>
      <c r="J28" s="36">
        <f t="shared" ref="J28:K28" si="27">SUM(B26:B28)</f>
        <v>456391</v>
      </c>
      <c r="K28" s="36">
        <f t="shared" si="27"/>
        <v>777657</v>
      </c>
      <c r="L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4">
        <v>12.0</v>
      </c>
      <c r="B29" s="196">
        <v>250912.0</v>
      </c>
      <c r="C29" s="196">
        <v>401652.0</v>
      </c>
      <c r="D29" s="196">
        <f t="shared" si="24"/>
        <v>652564</v>
      </c>
      <c r="E29" s="46">
        <v>195.0</v>
      </c>
      <c r="F29" s="46">
        <v>319.0</v>
      </c>
      <c r="G29" s="45">
        <f t="shared" ref="G29:H29" si="28">B29/E29</f>
        <v>1286.728205</v>
      </c>
      <c r="H29" s="47">
        <f t="shared" si="28"/>
        <v>1259.097179</v>
      </c>
      <c r="I29" s="33" t="s">
        <v>23</v>
      </c>
      <c r="J29" s="36">
        <f t="shared" ref="J29:K29" si="29">SUM(B29:B32)</f>
        <v>743998</v>
      </c>
      <c r="K29" s="36">
        <f t="shared" si="29"/>
        <v>1261958</v>
      </c>
      <c r="L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4">
        <v>13.0</v>
      </c>
      <c r="B30" s="45">
        <v>156394.0</v>
      </c>
      <c r="C30" s="45">
        <v>297045.0</v>
      </c>
      <c r="D30" s="47">
        <f t="shared" si="24"/>
        <v>453439</v>
      </c>
      <c r="E30" s="46">
        <v>122.0</v>
      </c>
      <c r="F30" s="46">
        <v>230.0</v>
      </c>
      <c r="G30" s="45">
        <f t="shared" ref="G30:H30" si="30">B30/E30</f>
        <v>1281.918033</v>
      </c>
      <c r="H30" s="47">
        <f t="shared" si="30"/>
        <v>1291.5</v>
      </c>
      <c r="I30" s="33" t="s">
        <v>17</v>
      </c>
      <c r="J30" s="36">
        <f t="shared" ref="J30:K30" si="31">SUM(J28:J29)</f>
        <v>1200389</v>
      </c>
      <c r="K30" s="36">
        <f t="shared" si="31"/>
        <v>2039615</v>
      </c>
      <c r="L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4">
        <v>14.0</v>
      </c>
      <c r="B31" s="45">
        <v>170196.0</v>
      </c>
      <c r="C31" s="45">
        <v>287930.0</v>
      </c>
      <c r="D31" s="47">
        <f t="shared" si="24"/>
        <v>458126</v>
      </c>
      <c r="E31" s="46">
        <v>133.0</v>
      </c>
      <c r="F31" s="46">
        <v>243.0</v>
      </c>
      <c r="G31" s="45">
        <f t="shared" ref="G31:H31" si="32">B31/E31</f>
        <v>1279.669173</v>
      </c>
      <c r="H31" s="47">
        <f t="shared" si="32"/>
        <v>1184.897119</v>
      </c>
      <c r="I31" s="33" t="s">
        <v>26</v>
      </c>
      <c r="J31" s="48">
        <f t="shared" ref="J31:K31" si="33">J28/J29</f>
        <v>0.6134304124</v>
      </c>
      <c r="K31" s="48">
        <f t="shared" si="33"/>
        <v>0.6162304926</v>
      </c>
      <c r="L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4">
        <v>15.0</v>
      </c>
      <c r="B32" s="45">
        <v>166496.0</v>
      </c>
      <c r="C32" s="45">
        <v>275331.0</v>
      </c>
      <c r="D32" s="47">
        <f t="shared" si="24"/>
        <v>441827</v>
      </c>
      <c r="E32" s="46">
        <v>126.0</v>
      </c>
      <c r="F32" s="46">
        <v>223.0</v>
      </c>
      <c r="G32" s="45">
        <f t="shared" ref="G32:H32" si="34">B32/E32</f>
        <v>1321.396825</v>
      </c>
      <c r="H32" s="47">
        <f t="shared" si="34"/>
        <v>1234.668161</v>
      </c>
      <c r="I32" s="33" t="s">
        <v>28</v>
      </c>
      <c r="J32" s="48">
        <f t="shared" ref="J32:K32" si="35">1-J28/J29</f>
        <v>0.3865695876</v>
      </c>
      <c r="K32" s="48">
        <f t="shared" si="35"/>
        <v>0.3837695074</v>
      </c>
      <c r="L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5" t="s">
        <v>29</v>
      </c>
      <c r="B33" s="50">
        <f t="shared" ref="B33:F33" si="36">SUM(B26:B32)</f>
        <v>1200389</v>
      </c>
      <c r="C33" s="50">
        <f t="shared" si="36"/>
        <v>2039615</v>
      </c>
      <c r="D33" s="50">
        <f t="shared" si="36"/>
        <v>3240004</v>
      </c>
      <c r="E33" s="57">
        <f t="shared" si="36"/>
        <v>922</v>
      </c>
      <c r="F33" s="57">
        <f t="shared" si="36"/>
        <v>1740</v>
      </c>
      <c r="G33" s="50">
        <f t="shared" ref="G33:H33" si="37">B33/E33</f>
        <v>1301.940347</v>
      </c>
      <c r="H33" s="51">
        <f t="shared" si="37"/>
        <v>1172.192529</v>
      </c>
      <c r="I33" s="211"/>
      <c r="J33" s="53"/>
      <c r="K33" s="53"/>
      <c r="L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2">
        <v>16.0</v>
      </c>
      <c r="B34" s="195">
        <v>96899.0</v>
      </c>
      <c r="C34" s="36">
        <v>240518.0</v>
      </c>
      <c r="D34" s="36">
        <f t="shared" ref="D34:D40" si="39">SUM(B34:C34)</f>
        <v>337417</v>
      </c>
      <c r="E34" s="37">
        <v>74.0</v>
      </c>
      <c r="F34" s="37">
        <v>204.0</v>
      </c>
      <c r="G34" s="36">
        <f t="shared" ref="G34:H34" si="38">B34/E34</f>
        <v>1309.445946</v>
      </c>
      <c r="H34" s="38">
        <f t="shared" si="38"/>
        <v>1179.009804</v>
      </c>
      <c r="I34" s="211"/>
      <c r="J34" s="52"/>
      <c r="K34" s="52"/>
      <c r="L34" s="212">
        <f>100-81.82</f>
        <v>18.18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2">
        <v>17.0</v>
      </c>
      <c r="B35" s="36">
        <v>123530.0</v>
      </c>
      <c r="C35" s="36">
        <v>240723.0</v>
      </c>
      <c r="D35" s="36">
        <f t="shared" si="39"/>
        <v>364253</v>
      </c>
      <c r="E35" s="37">
        <v>91.0</v>
      </c>
      <c r="F35" s="37">
        <v>199.0</v>
      </c>
      <c r="G35" s="36">
        <f t="shared" ref="G35:H35" si="40">B35/E35</f>
        <v>1357.472527</v>
      </c>
      <c r="H35" s="38">
        <f t="shared" si="40"/>
        <v>1209.663317</v>
      </c>
      <c r="I35" s="31"/>
      <c r="J35" s="56" t="s">
        <v>15</v>
      </c>
      <c r="K35" s="56" t="s">
        <v>16</v>
      </c>
      <c r="L35" s="212">
        <f>100-79.41</f>
        <v>20.59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2">
        <v>18.0</v>
      </c>
      <c r="B36" s="36">
        <v>115935.0</v>
      </c>
      <c r="C36" s="36">
        <v>270486.0</v>
      </c>
      <c r="D36" s="36">
        <f t="shared" si="39"/>
        <v>386421</v>
      </c>
      <c r="E36" s="37">
        <v>101.0</v>
      </c>
      <c r="F36" s="37">
        <v>246.0</v>
      </c>
      <c r="G36" s="36">
        <f t="shared" ref="G36:H36" si="41">B36/E36</f>
        <v>1147.871287</v>
      </c>
      <c r="H36" s="38">
        <f t="shared" si="41"/>
        <v>1099.536585</v>
      </c>
      <c r="I36" s="32" t="s">
        <v>21</v>
      </c>
      <c r="J36" s="36">
        <f t="shared" ref="J36:K36" si="42">SUM(B34:B37)</f>
        <v>477357</v>
      </c>
      <c r="K36" s="36">
        <f t="shared" si="42"/>
        <v>1015470</v>
      </c>
      <c r="L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2">
        <v>19.0</v>
      </c>
      <c r="B37" s="36">
        <v>140993.0</v>
      </c>
      <c r="C37" s="36">
        <v>263743.0</v>
      </c>
      <c r="D37" s="36">
        <f t="shared" si="39"/>
        <v>404736</v>
      </c>
      <c r="E37" s="37">
        <v>114.0</v>
      </c>
      <c r="F37" s="37">
        <v>235.0</v>
      </c>
      <c r="G37" s="36">
        <f t="shared" ref="G37:H37" si="43">B37/E37</f>
        <v>1236.780702</v>
      </c>
      <c r="H37" s="38">
        <f t="shared" si="43"/>
        <v>1122.310638</v>
      </c>
      <c r="I37" s="32" t="s">
        <v>23</v>
      </c>
      <c r="J37" s="36">
        <f t="shared" ref="J37:K37" si="44">SUM(B38:B40)</f>
        <v>524086</v>
      </c>
      <c r="K37" s="36">
        <f t="shared" si="44"/>
        <v>952514</v>
      </c>
      <c r="L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4">
        <v>20.0</v>
      </c>
      <c r="B38" s="45">
        <v>189040.0</v>
      </c>
      <c r="C38" s="45">
        <v>336540.0</v>
      </c>
      <c r="D38" s="47">
        <f t="shared" si="39"/>
        <v>525580</v>
      </c>
      <c r="E38" s="46">
        <v>138.0</v>
      </c>
      <c r="F38" s="46">
        <v>295.0</v>
      </c>
      <c r="G38" s="45">
        <f t="shared" ref="G38:H38" si="45">B38/E38</f>
        <v>1369.855072</v>
      </c>
      <c r="H38" s="47">
        <f t="shared" si="45"/>
        <v>1140.813559</v>
      </c>
      <c r="I38" s="32" t="s">
        <v>17</v>
      </c>
      <c r="J38" s="36">
        <f t="shared" ref="J38:K38" si="46">SUM(J36:J37)</f>
        <v>1001443</v>
      </c>
      <c r="K38" s="36">
        <f t="shared" si="46"/>
        <v>1967984</v>
      </c>
      <c r="L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4">
        <v>21.0</v>
      </c>
      <c r="B39" s="45">
        <v>179649.0</v>
      </c>
      <c r="C39" s="45">
        <v>301461.0</v>
      </c>
      <c r="D39" s="47">
        <f t="shared" si="39"/>
        <v>481110</v>
      </c>
      <c r="E39" s="46">
        <v>133.0</v>
      </c>
      <c r="F39" s="46">
        <v>249.0</v>
      </c>
      <c r="G39" s="45">
        <f t="shared" ref="G39:H39" si="47">B39/E39</f>
        <v>1350.744361</v>
      </c>
      <c r="H39" s="47">
        <f t="shared" si="47"/>
        <v>1210.686747</v>
      </c>
      <c r="I39" s="32" t="s">
        <v>26</v>
      </c>
      <c r="J39" s="48">
        <f t="shared" ref="J39:K39" si="48">J36/J37</f>
        <v>0.9108371527</v>
      </c>
      <c r="K39" s="48">
        <f t="shared" si="48"/>
        <v>1.066094567</v>
      </c>
      <c r="L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4">
        <v>22.0</v>
      </c>
      <c r="B40" s="45">
        <v>155397.0</v>
      </c>
      <c r="C40" s="45">
        <v>314513.0</v>
      </c>
      <c r="D40" s="47">
        <f t="shared" si="39"/>
        <v>469910</v>
      </c>
      <c r="E40" s="46">
        <v>125.0</v>
      </c>
      <c r="F40" s="46">
        <v>267.0</v>
      </c>
      <c r="G40" s="45">
        <f t="shared" ref="G40:H40" si="49">B40/E40</f>
        <v>1243.176</v>
      </c>
      <c r="H40" s="47">
        <f t="shared" si="49"/>
        <v>1177.951311</v>
      </c>
      <c r="I40" s="32" t="s">
        <v>28</v>
      </c>
      <c r="J40" s="48">
        <f t="shared" ref="J40:K40" si="50">1-J36/J37</f>
        <v>0.08916284732</v>
      </c>
      <c r="K40" s="48">
        <f t="shared" si="50"/>
        <v>-0.06609456659</v>
      </c>
      <c r="L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75" t="s">
        <v>29</v>
      </c>
      <c r="B41" s="50">
        <f t="shared" ref="B41:F41" si="51">SUM(B34:B40)</f>
        <v>1001443</v>
      </c>
      <c r="C41" s="50">
        <f t="shared" si="51"/>
        <v>1967984</v>
      </c>
      <c r="D41" s="50">
        <f t="shared" si="51"/>
        <v>2969427</v>
      </c>
      <c r="E41" s="57">
        <f t="shared" si="51"/>
        <v>776</v>
      </c>
      <c r="F41" s="57">
        <f t="shared" si="51"/>
        <v>1695</v>
      </c>
      <c r="G41" s="50">
        <f t="shared" ref="G41:H41" si="52">B41/E41</f>
        <v>1290.51933</v>
      </c>
      <c r="H41" s="51">
        <f t="shared" si="52"/>
        <v>1161.052507</v>
      </c>
      <c r="I41" s="64"/>
      <c r="J41" s="53"/>
      <c r="K41" s="53"/>
      <c r="L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2">
        <v>23.0</v>
      </c>
      <c r="B42" s="198">
        <f>IFERROR(__xludf.DUMMYFUNCTION("IMPORTRANGE(""https://docs.google.com/spreadsheets/d/1K7R9HaF91GKIINBrlxi4T5IckptozbY1sFDm-U5RNDw/edit?gid=1576804548#gid=1576804548"", ""ИЮНЬ 2025!C29"")"),105750.0)</f>
        <v>105750</v>
      </c>
      <c r="C42" s="36">
        <f>IFERROR(__xludf.DUMMYFUNCTION("IMPORTRANGE(""https://docs.google.com/spreadsheets/d/1K7R9HaF91GKIINBrlxi4T5IckptozbY1sFDm-U5RNDw/edit?gid=1576804548#gid=1576804548"", ""ИЮНЬ 2025!D29"")"),224746.0)</f>
        <v>224746</v>
      </c>
      <c r="D42" s="38">
        <f t="shared" ref="D42:D48" si="54">SUM(B42:C42)</f>
        <v>330496</v>
      </c>
      <c r="E42" s="198">
        <f>IFERROR(__xludf.DUMMYFUNCTION("IMPORTRANGE(""https://docs.google.com/spreadsheets/d/1K7R9HaF91GKIINBrlxi4T5IckptozbY1sFDm-U5RNDw/edit?gid=1576804548#gid=1576804548"", ""ИЮНЬ 2025!F29"")"),84.0)</f>
        <v>84</v>
      </c>
      <c r="F42" s="36">
        <f>IFERROR(__xludf.DUMMYFUNCTION("IMPORTRANGE(""https://docs.google.com/spreadsheets/d/1K7R9HaF91GKIINBrlxi4T5IckptozbY1sFDm-U5RNDw/edit?gid=1576804548#gid=1576804548"", ""ИЮНЬ 2025!G29"")"),201.0)</f>
        <v>201</v>
      </c>
      <c r="G42" s="36">
        <f t="shared" ref="G42:H42" si="53">B42/E42</f>
        <v>1258.928571</v>
      </c>
      <c r="H42" s="38">
        <f t="shared" si="53"/>
        <v>1118.139303</v>
      </c>
      <c r="I42" s="64"/>
      <c r="J42" s="52"/>
      <c r="K42" s="52"/>
      <c r="L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2">
        <v>24.0</v>
      </c>
      <c r="B43" s="198">
        <f>IFERROR(__xludf.DUMMYFUNCTION("IMPORTRANGE(""https://docs.google.com/spreadsheets/d/1K7R9HaF91GKIINBrlxi4T5IckptozbY1sFDm-U5RNDw/edit?gid=1576804548#gid=1576804548"", ""ИЮНЬ 2025!C30"")"),123364.0)</f>
        <v>123364</v>
      </c>
      <c r="C43" s="36">
        <f>IFERROR(__xludf.DUMMYFUNCTION("IMPORTRANGE(""https://docs.google.com/spreadsheets/d/1K7R9HaF91GKIINBrlxi4T5IckptozbY1sFDm-U5RNDw/edit?gid=1576804548#gid=1576804548"", ""ИЮНЬ 2025!D30"")"),223734.0)</f>
        <v>223734</v>
      </c>
      <c r="D43" s="38">
        <f t="shared" si="54"/>
        <v>347098</v>
      </c>
      <c r="E43" s="198">
        <f>IFERROR(__xludf.DUMMYFUNCTION("IMPORTRANGE(""https://docs.google.com/spreadsheets/d/1K7R9HaF91GKIINBrlxi4T5IckptozbY1sFDm-U5RNDw/edit?gid=1576804548#gid=1576804548"", ""ИЮНЬ 2025!F30"")"),102.0)</f>
        <v>102</v>
      </c>
      <c r="F43" s="36">
        <f>IFERROR(__xludf.DUMMYFUNCTION("IMPORTRANGE(""https://docs.google.com/spreadsheets/d/1K7R9HaF91GKIINBrlxi4T5IckptozbY1sFDm-U5RNDw/edit?gid=1576804548#gid=1576804548"", ""ИЮНЬ 2025!G30"")"),189.0)</f>
        <v>189</v>
      </c>
      <c r="G43" s="36">
        <f t="shared" ref="G43:H43" si="55">B43/E43</f>
        <v>1209.45098</v>
      </c>
      <c r="H43" s="38">
        <f t="shared" si="55"/>
        <v>1183.777778</v>
      </c>
      <c r="I43" s="31"/>
      <c r="J43" s="56" t="s">
        <v>15</v>
      </c>
      <c r="K43" s="56" t="s">
        <v>16</v>
      </c>
      <c r="L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2">
        <v>25.0</v>
      </c>
      <c r="B44" s="198">
        <f>IFERROR(__xludf.DUMMYFUNCTION("IMPORTRANGE(""https://docs.google.com/spreadsheets/d/1K7R9HaF91GKIINBrlxi4T5IckptozbY1sFDm-U5RNDw/edit?gid=1576804548#gid=1576804548"", ""ИЮНЬ 2025!C31"")"),186436.0)</f>
        <v>186436</v>
      </c>
      <c r="C44" s="36">
        <f>IFERROR(__xludf.DUMMYFUNCTION("IMPORTRANGE(""https://docs.google.com/spreadsheets/d/1K7R9HaF91GKIINBrlxi4T5IckptozbY1sFDm-U5RNDw/edit?gid=1576804548#gid=1576804548"", ""ИЮНЬ 2025!D31"")"),46959.0)</f>
        <v>46959</v>
      </c>
      <c r="D44" s="38">
        <f t="shared" si="54"/>
        <v>233395</v>
      </c>
      <c r="E44" s="198">
        <f>IFERROR(__xludf.DUMMYFUNCTION("IMPORTRANGE(""https://docs.google.com/spreadsheets/d/1K7R9HaF91GKIINBrlxi4T5IckptozbY1sFDm-U5RNDw/edit?gid=1576804548#gid=1576804548"", ""ИЮНЬ 2025!F31"")"),150.0)</f>
        <v>150</v>
      </c>
      <c r="F44" s="36">
        <f>IFERROR(__xludf.DUMMYFUNCTION("IMPORTRANGE(""https://docs.google.com/spreadsheets/d/1K7R9HaF91GKIINBrlxi4T5IckptozbY1sFDm-U5RNDw/edit?gid=1576804548#gid=1576804548"", ""ИЮНЬ 2025!G31"")"),39.0)</f>
        <v>39</v>
      </c>
      <c r="G44" s="36">
        <f t="shared" ref="G44:H44" si="56">B44/E44</f>
        <v>1242.906667</v>
      </c>
      <c r="H44" s="38">
        <f t="shared" si="56"/>
        <v>1204.076923</v>
      </c>
      <c r="I44" s="32" t="s">
        <v>21</v>
      </c>
      <c r="J44" s="36">
        <f t="shared" ref="J44:K44" si="57">SUM(B42:B45)</f>
        <v>547851</v>
      </c>
      <c r="K44" s="36">
        <f t="shared" si="57"/>
        <v>729551</v>
      </c>
      <c r="L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2">
        <v>26.0</v>
      </c>
      <c r="B45" s="198">
        <f>IFERROR(__xludf.DUMMYFUNCTION("IMPORTRANGE(""https://docs.google.com/spreadsheets/d/1K7R9HaF91GKIINBrlxi4T5IckptozbY1sFDm-U5RNDw/edit?gid=1576804548#gid=1576804548"", ""ИЮНЬ 2025!C32"")"),132301.0)</f>
        <v>132301</v>
      </c>
      <c r="C45" s="36">
        <f>IFERROR(__xludf.DUMMYFUNCTION("IMPORTRANGE(""https://docs.google.com/spreadsheets/d/1K7R9HaF91GKIINBrlxi4T5IckptozbY1sFDm-U5RNDw/edit?gid=1576804548#gid=1576804548"", ""ИЮНЬ 2025!D32"")"),234112.0)</f>
        <v>234112</v>
      </c>
      <c r="D45" s="36">
        <f t="shared" si="54"/>
        <v>366413</v>
      </c>
      <c r="E45" s="198">
        <f>IFERROR(__xludf.DUMMYFUNCTION("IMPORTRANGE(""https://docs.google.com/spreadsheets/d/1K7R9HaF91GKIINBrlxi4T5IckptozbY1sFDm-U5RNDw/edit?gid=1576804548#gid=1576804548"", ""ИЮНЬ 2025!F32"")"),107.0)</f>
        <v>107</v>
      </c>
      <c r="F45" s="36">
        <f>IFERROR(__xludf.DUMMYFUNCTION("IMPORTRANGE(""https://docs.google.com/spreadsheets/d/1K7R9HaF91GKIINBrlxi4T5IckptozbY1sFDm-U5RNDw/edit?gid=1576804548#gid=1576804548"", ""ИЮНЬ 2025!G32"")"),212.0)</f>
        <v>212</v>
      </c>
      <c r="G45" s="36">
        <f t="shared" ref="G45:H45" si="58">B45/E45</f>
        <v>1236.457944</v>
      </c>
      <c r="H45" s="38">
        <f t="shared" si="58"/>
        <v>1104.301887</v>
      </c>
      <c r="I45" s="32" t="s">
        <v>23</v>
      </c>
      <c r="J45" s="36">
        <f t="shared" ref="J45:K45" si="59">SUM(B46:B48)</f>
        <v>508368</v>
      </c>
      <c r="K45" s="36">
        <f t="shared" si="59"/>
        <v>1117627</v>
      </c>
      <c r="L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4">
        <v>27.0</v>
      </c>
      <c r="B46" s="200">
        <f>IFERROR(__xludf.DUMMYFUNCTION("IMPORTRANGE(""https://docs.google.com/spreadsheets/d/1K7R9HaF91GKIINBrlxi4T5IckptozbY1sFDm-U5RNDw/edit?gid=1576804548#gid=1576804548"", ""ИЮНЬ 2025!C33"")"),155135.0)</f>
        <v>155135</v>
      </c>
      <c r="C46" s="45">
        <f>IFERROR(__xludf.DUMMYFUNCTION("IMPORTRANGE(""https://docs.google.com/spreadsheets/d/1K7R9HaF91GKIINBrlxi4T5IckptozbY1sFDm-U5RNDw/edit?gid=1576804548#gid=1576804548"", ""ИЮНЬ 2025!D33"")"),383849.0)</f>
        <v>383849</v>
      </c>
      <c r="D46" s="45">
        <f t="shared" si="54"/>
        <v>538984</v>
      </c>
      <c r="E46" s="200">
        <f>IFERROR(__xludf.DUMMYFUNCTION("IMPORTRANGE(""https://docs.google.com/spreadsheets/d/1K7R9HaF91GKIINBrlxi4T5IckptozbY1sFDm-U5RNDw/edit?gid=1576804548#gid=1576804548"", ""ИЮНЬ 2025!F33"")"),110.0)</f>
        <v>110</v>
      </c>
      <c r="F46" s="45">
        <f>IFERROR(__xludf.DUMMYFUNCTION("IMPORTRANGE(""https://docs.google.com/spreadsheets/d/1K7R9HaF91GKIINBrlxi4T5IckptozbY1sFDm-U5RNDw/edit?gid=1576804548#gid=1576804548"", ""ИЮНЬ 2025!G33"")"),294.0)</f>
        <v>294</v>
      </c>
      <c r="G46" s="45">
        <f t="shared" ref="G46:H46" si="60">B46/E46</f>
        <v>1410.318182</v>
      </c>
      <c r="H46" s="47">
        <f t="shared" si="60"/>
        <v>1305.608844</v>
      </c>
      <c r="I46" s="32" t="s">
        <v>17</v>
      </c>
      <c r="J46" s="36">
        <f t="shared" ref="J46:K46" si="61">SUM(J44:J45)</f>
        <v>1056219</v>
      </c>
      <c r="K46" s="36">
        <f t="shared" si="61"/>
        <v>1847178</v>
      </c>
      <c r="L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4">
        <v>28.0</v>
      </c>
      <c r="B47" s="200">
        <f>IFERROR(__xludf.DUMMYFUNCTION("IMPORTRANGE(""https://docs.google.com/spreadsheets/d/1K7R9HaF91GKIINBrlxi4T5IckptozbY1sFDm-U5RNDw/edit?gid=1576804548#gid=1576804548"", ""ИЮНЬ 2025!C34"")"),200995.0)</f>
        <v>200995</v>
      </c>
      <c r="C47" s="45">
        <f>IFERROR(__xludf.DUMMYFUNCTION("IMPORTRANGE(""https://docs.google.com/spreadsheets/d/1K7R9HaF91GKIINBrlxi4T5IckptozbY1sFDm-U5RNDw/edit?gid=1576804548#gid=1576804548"", ""ИЮНЬ 2025!D34"")"),432443.0)</f>
        <v>432443</v>
      </c>
      <c r="D47" s="45">
        <f t="shared" si="54"/>
        <v>633438</v>
      </c>
      <c r="E47" s="200">
        <f>IFERROR(__xludf.DUMMYFUNCTION("IMPORTRANGE(""https://docs.google.com/spreadsheets/d/1K7R9HaF91GKIINBrlxi4T5IckptozbY1sFDm-U5RNDw/edit?gid=1576804548#gid=1576804548"", ""ИЮНЬ 2025!F34"")"),139.0)</f>
        <v>139</v>
      </c>
      <c r="F47" s="45">
        <f>IFERROR(__xludf.DUMMYFUNCTION("IMPORTRANGE(""https://docs.google.com/spreadsheets/d/1K7R9HaF91GKIINBrlxi4T5IckptozbY1sFDm-U5RNDw/edit?gid=1576804548#gid=1576804548"", ""ИЮНЬ 2025!G34"")"),351.0)</f>
        <v>351</v>
      </c>
      <c r="G47" s="45">
        <f t="shared" ref="G47:H47" si="62">B47/E47</f>
        <v>1446.007194</v>
      </c>
      <c r="H47" s="47">
        <f t="shared" si="62"/>
        <v>1232.031339</v>
      </c>
      <c r="I47" s="32" t="s">
        <v>26</v>
      </c>
      <c r="J47" s="48">
        <f t="shared" ref="J47:K47" si="63">J44/J45</f>
        <v>1.077666179</v>
      </c>
      <c r="K47" s="48">
        <f t="shared" si="63"/>
        <v>0.6527678734</v>
      </c>
      <c r="L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4">
        <v>29.0</v>
      </c>
      <c r="B48" s="200">
        <f>IFERROR(__xludf.DUMMYFUNCTION("IMPORTRANGE(""https://docs.google.com/spreadsheets/d/1K7R9HaF91GKIINBrlxi4T5IckptozbY1sFDm-U5RNDw/edit?gid=1576804548#gid=1576804548"", ""ИЮНЬ 2025!C35"")"),152238.0)</f>
        <v>152238</v>
      </c>
      <c r="C48" s="45">
        <f>IFERROR(__xludf.DUMMYFUNCTION("IMPORTRANGE(""https://docs.google.com/spreadsheets/d/1K7R9HaF91GKIINBrlxi4T5IckptozbY1sFDm-U5RNDw/edit?gid=1576804548#gid=1576804548"", ""ИЮНЬ 2025!D35"")"),301335.0)</f>
        <v>301335</v>
      </c>
      <c r="D48" s="47">
        <f t="shared" si="54"/>
        <v>453573</v>
      </c>
      <c r="E48" s="200">
        <f>IFERROR(__xludf.DUMMYFUNCTION("IMPORTRANGE(""https://docs.google.com/spreadsheets/d/1K7R9HaF91GKIINBrlxi4T5IckptozbY1sFDm-U5RNDw/edit?gid=1576804548#gid=1576804548"", ""ИЮНЬ 2025!F35"")"),124.0)</f>
        <v>124</v>
      </c>
      <c r="F48" s="45">
        <f>IFERROR(__xludf.DUMMYFUNCTION("IMPORTRANGE(""https://docs.google.com/spreadsheets/d/1K7R9HaF91GKIINBrlxi4T5IckptozbY1sFDm-U5RNDw/edit?gid=1576804548#gid=1576804548"", ""ИЮНЬ 2025!G35"")"),242.0)</f>
        <v>242</v>
      </c>
      <c r="G48" s="45">
        <f t="shared" ref="G48:H48" si="64">B48/E48</f>
        <v>1227.725806</v>
      </c>
      <c r="H48" s="47">
        <f t="shared" si="64"/>
        <v>1245.18595</v>
      </c>
      <c r="I48" s="32" t="s">
        <v>28</v>
      </c>
      <c r="J48" s="48">
        <f t="shared" ref="J48:K48" si="65">1-J44/J45</f>
        <v>-0.07766617883</v>
      </c>
      <c r="K48" s="48">
        <f t="shared" si="65"/>
        <v>0.3472321266</v>
      </c>
      <c r="L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5" t="s">
        <v>29</v>
      </c>
      <c r="B49" s="50">
        <f t="shared" ref="B49:F49" si="66">SUM(B42:B48)</f>
        <v>1056219</v>
      </c>
      <c r="C49" s="50">
        <f t="shared" si="66"/>
        <v>1847178</v>
      </c>
      <c r="D49" s="50">
        <f t="shared" si="66"/>
        <v>2903397</v>
      </c>
      <c r="E49" s="57">
        <f t="shared" si="66"/>
        <v>816</v>
      </c>
      <c r="F49" s="57">
        <f t="shared" si="66"/>
        <v>1528</v>
      </c>
      <c r="G49" s="50">
        <f t="shared" ref="G49:H49" si="67">B49/E49</f>
        <v>1294.386029</v>
      </c>
      <c r="H49" s="51">
        <f t="shared" si="67"/>
        <v>1208.886126</v>
      </c>
      <c r="I49" s="64"/>
      <c r="J49" s="53"/>
      <c r="K49" s="53"/>
      <c r="L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2">
        <v>30.0</v>
      </c>
      <c r="B50" s="198">
        <f>IFERROR(__xludf.DUMMYFUNCTION("IMPORTRANGE(""https://docs.google.com/spreadsheets/d/1K7R9HaF91GKIINBrlxi4T5IckptozbY1sFDm-U5RNDw/edit?gid=1576804548#gid=1576804548"", ""ИЮНЬ 2025!C37"")"),130066.0)</f>
        <v>130066</v>
      </c>
      <c r="C50" s="198">
        <f>IFERROR(__xludf.DUMMYFUNCTION("IMPORTRANGE(""https://docs.google.com/spreadsheets/d/1K7R9HaF91GKIINBrlxi4T5IckptozbY1sFDm-U5RNDw/edit?gid=1576804548#gid=1576804548"", ""ИЮНЬ 2025!D37"")"),263267.0)</f>
        <v>263267</v>
      </c>
      <c r="D50" s="38">
        <f>SUM(B50:C50)</f>
        <v>393333</v>
      </c>
      <c r="E50" s="198">
        <f>IFERROR(__xludf.DUMMYFUNCTION("IMPORTRANGE(""https://docs.google.com/spreadsheets/d/1K7R9HaF91GKIINBrlxi4T5IckptozbY1sFDm-U5RNDw/edit?gid=1576804548#gid=1576804548"", ""ИЮНЬ 2025!F37"")"),88.0)</f>
        <v>88</v>
      </c>
      <c r="F50" s="36">
        <f>IFERROR(__xludf.DUMMYFUNCTION("IMPORTRANGE(""https://docs.google.com/spreadsheets/d/1K7R9HaF91GKIINBrlxi4T5IckptozbY1sFDm-U5RNDw/edit?gid=1576804548#gid=1576804548"", ""ИЮНЬ 2025!G37"")"),206.0)</f>
        <v>206</v>
      </c>
      <c r="G50" s="36">
        <f t="shared" ref="G50:H50" si="68">B50/E50</f>
        <v>1478.022727</v>
      </c>
      <c r="H50" s="38">
        <f t="shared" si="68"/>
        <v>1277.995146</v>
      </c>
      <c r="I50" s="64"/>
      <c r="J50" s="52"/>
      <c r="K50" s="52"/>
      <c r="L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5" t="s">
        <v>29</v>
      </c>
      <c r="B51" s="50">
        <f t="shared" ref="B51:F51" si="69">SUM(B50)</f>
        <v>130066</v>
      </c>
      <c r="C51" s="50">
        <f t="shared" si="69"/>
        <v>263267</v>
      </c>
      <c r="D51" s="50">
        <f t="shared" si="69"/>
        <v>393333</v>
      </c>
      <c r="E51" s="57">
        <f t="shared" si="69"/>
        <v>88</v>
      </c>
      <c r="F51" s="57">
        <f t="shared" si="69"/>
        <v>206</v>
      </c>
      <c r="G51" s="50">
        <f t="shared" ref="G51:H51" si="70">B51/E51</f>
        <v>1478.022727</v>
      </c>
      <c r="H51" s="51">
        <f t="shared" si="70"/>
        <v>1277.995146</v>
      </c>
      <c r="I51" s="64"/>
      <c r="J51" s="52"/>
      <c r="K51" s="52"/>
      <c r="L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2" t="s">
        <v>29</v>
      </c>
      <c r="B52" s="36">
        <f t="shared" ref="B52:F52" si="71">SUM(B51,B49,B17,B25,B33,B41)</f>
        <v>4452951</v>
      </c>
      <c r="C52" s="36">
        <f t="shared" si="71"/>
        <v>8108611</v>
      </c>
      <c r="D52" s="36">
        <f t="shared" si="71"/>
        <v>12561562</v>
      </c>
      <c r="E52" s="37">
        <f t="shared" si="71"/>
        <v>3465</v>
      </c>
      <c r="F52" s="37">
        <f t="shared" si="71"/>
        <v>6918</v>
      </c>
      <c r="G52" s="36">
        <f t="shared" ref="G52:H52" si="72">B52/E52</f>
        <v>1285.122944</v>
      </c>
      <c r="H52" s="38">
        <f t="shared" si="72"/>
        <v>1172.103354</v>
      </c>
      <c r="I52" s="64"/>
      <c r="J52" s="1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2" t="s">
        <v>31</v>
      </c>
      <c r="B53" s="36">
        <v>4200000.0</v>
      </c>
      <c r="C53" s="36">
        <v>8200000.0</v>
      </c>
      <c r="D53" s="36">
        <f>SUM(B53:C53)</f>
        <v>12400000</v>
      </c>
      <c r="E53" s="62"/>
      <c r="F53" s="62"/>
      <c r="G53" s="63"/>
      <c r="H53" s="63"/>
      <c r="I53" s="1"/>
      <c r="J53" s="1"/>
      <c r="K53" s="1"/>
      <c r="L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2" t="s">
        <v>32</v>
      </c>
      <c r="B54" s="65">
        <f t="shared" ref="B54:D54" si="73">B52/B53</f>
        <v>1.060226429</v>
      </c>
      <c r="C54" s="65">
        <f t="shared" si="73"/>
        <v>0.988855</v>
      </c>
      <c r="D54" s="65">
        <f t="shared" si="73"/>
        <v>1.013029194</v>
      </c>
      <c r="E54" s="62"/>
      <c r="F54" s="62"/>
      <c r="G54" s="66"/>
      <c r="H54" s="66"/>
      <c r="I54" s="1"/>
      <c r="J54" s="1"/>
      <c r="K54" s="1"/>
      <c r="L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2" t="s">
        <v>33</v>
      </c>
      <c r="B55" s="36">
        <f t="shared" ref="B55:D55" si="74">B52/31</f>
        <v>143643.5806</v>
      </c>
      <c r="C55" s="36">
        <f t="shared" si="74"/>
        <v>261568.0968</v>
      </c>
      <c r="D55" s="36">
        <f t="shared" si="74"/>
        <v>405211.6774</v>
      </c>
      <c r="E55" s="62"/>
      <c r="F55" s="62"/>
      <c r="G55" s="63"/>
      <c r="H55" s="63"/>
      <c r="I55" s="1"/>
      <c r="J55" s="1"/>
      <c r="K55" s="1"/>
      <c r="L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/>
      <c r="B56" s="5"/>
      <c r="C56" s="5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34</v>
      </c>
      <c r="B57" s="3"/>
      <c r="C57" s="3"/>
      <c r="D57" s="3"/>
      <c r="E57" s="3"/>
      <c r="F57" s="3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/>
      <c r="B58" s="7"/>
      <c r="C58" s="7"/>
      <c r="D58" s="7"/>
      <c r="E58" s="7"/>
      <c r="F58" s="7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1</v>
      </c>
      <c r="B59" s="10" t="s">
        <v>518</v>
      </c>
      <c r="C59" s="10" t="s">
        <v>519</v>
      </c>
      <c r="D59" s="10" t="s">
        <v>520</v>
      </c>
      <c r="E59" s="10" t="s">
        <v>521</v>
      </c>
      <c r="F59" s="10" t="s">
        <v>406</v>
      </c>
      <c r="G59" s="10" t="s">
        <v>407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8</v>
      </c>
      <c r="B60" s="11">
        <v>3630000.0</v>
      </c>
      <c r="C60" s="12">
        <v>3761219.0</v>
      </c>
      <c r="D60" s="11">
        <v>4200000.0</v>
      </c>
      <c r="E60" s="12">
        <f>B52</f>
        <v>4452951</v>
      </c>
      <c r="F60" s="15">
        <f t="shared" ref="F60:F61" si="75">C60/B60</f>
        <v>1.036148485</v>
      </c>
      <c r="G60" s="16">
        <f t="shared" ref="G60:G61" si="76">E60/D60</f>
        <v>1.060226429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 t="s">
        <v>9</v>
      </c>
      <c r="B61" s="11">
        <v>7650000.0</v>
      </c>
      <c r="C61" s="12">
        <v>7891370.0</v>
      </c>
      <c r="D61" s="11">
        <v>8200000.0</v>
      </c>
      <c r="E61" s="12">
        <f>C52</f>
        <v>8108611</v>
      </c>
      <c r="F61" s="15">
        <f t="shared" si="75"/>
        <v>1.031551634</v>
      </c>
      <c r="G61" s="16">
        <f t="shared" si="76"/>
        <v>0.988855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0" t="s">
        <v>1</v>
      </c>
      <c r="B63" s="71" t="s">
        <v>41</v>
      </c>
      <c r="C63" s="71" t="s">
        <v>42</v>
      </c>
      <c r="D63" s="1"/>
      <c r="E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0" t="s">
        <v>8</v>
      </c>
      <c r="B64" s="72">
        <f t="shared" ref="B64:C64" si="77">(D60-B60)/B60</f>
        <v>0.1570247934</v>
      </c>
      <c r="C64" s="72">
        <f t="shared" si="77"/>
        <v>0.183911652</v>
      </c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0" t="s">
        <v>9</v>
      </c>
      <c r="B65" s="72">
        <f t="shared" ref="B65:C65" si="78">(D61-B61)/B61</f>
        <v>0.07189542484</v>
      </c>
      <c r="C65" s="72">
        <f t="shared" si="78"/>
        <v>0.02752893351</v>
      </c>
      <c r="D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2"/>
      <c r="D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3" t="s">
        <v>43</v>
      </c>
      <c r="B67" s="27"/>
      <c r="C67" s="27"/>
      <c r="D67" s="28"/>
      <c r="E67" s="5"/>
      <c r="F67" s="7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5"/>
      <c r="B68" s="43" t="s">
        <v>15</v>
      </c>
      <c r="C68" s="32" t="s">
        <v>16</v>
      </c>
      <c r="D68" s="32" t="s">
        <v>17</v>
      </c>
      <c r="E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13">
        <v>1.0</v>
      </c>
      <c r="B69" s="46">
        <v>16.0</v>
      </c>
      <c r="C69" s="46">
        <v>28.0</v>
      </c>
      <c r="D69" s="46">
        <f>SUM(B69:C69)</f>
        <v>44</v>
      </c>
      <c r="E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9" t="s">
        <v>29</v>
      </c>
      <c r="B70" s="57">
        <f t="shared" ref="B70:D70" si="79">SUM(B69)</f>
        <v>16</v>
      </c>
      <c r="C70" s="57">
        <f t="shared" si="79"/>
        <v>28</v>
      </c>
      <c r="D70" s="57">
        <f t="shared" si="79"/>
        <v>44</v>
      </c>
      <c r="E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5">
        <v>2.0</v>
      </c>
      <c r="B71" s="37">
        <v>7.0</v>
      </c>
      <c r="C71" s="204">
        <v>16.0</v>
      </c>
      <c r="D71" s="37">
        <f t="shared" ref="D71:D77" si="80">SUM(B71:C71)</f>
        <v>23</v>
      </c>
      <c r="E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5">
        <v>3.0</v>
      </c>
      <c r="B72" s="37">
        <v>7.0</v>
      </c>
      <c r="C72" s="37">
        <v>24.0</v>
      </c>
      <c r="D72" s="37">
        <f t="shared" si="80"/>
        <v>31</v>
      </c>
      <c r="E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5">
        <v>4.0</v>
      </c>
      <c r="B73" s="204">
        <v>5.0</v>
      </c>
      <c r="C73" s="37">
        <v>20.0</v>
      </c>
      <c r="D73" s="37">
        <f t="shared" si="80"/>
        <v>25</v>
      </c>
      <c r="E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5">
        <v>5.0</v>
      </c>
      <c r="B74" s="37">
        <v>9.0</v>
      </c>
      <c r="C74" s="199">
        <v>18.0</v>
      </c>
      <c r="D74" s="37">
        <f t="shared" si="80"/>
        <v>27</v>
      </c>
      <c r="E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13">
        <v>6.0</v>
      </c>
      <c r="B75" s="46">
        <v>9.0</v>
      </c>
      <c r="C75" s="214">
        <v>33.0</v>
      </c>
      <c r="D75" s="46">
        <f t="shared" si="80"/>
        <v>42</v>
      </c>
      <c r="E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13">
        <v>7.0</v>
      </c>
      <c r="B76" s="46">
        <v>7.0</v>
      </c>
      <c r="C76" s="46">
        <v>17.0</v>
      </c>
      <c r="D76" s="46">
        <f t="shared" si="80"/>
        <v>24</v>
      </c>
      <c r="E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13">
        <v>8.0</v>
      </c>
      <c r="B77" s="46">
        <v>9.0</v>
      </c>
      <c r="C77" s="46">
        <v>24.0</v>
      </c>
      <c r="D77" s="46">
        <f t="shared" si="80"/>
        <v>33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49" t="s">
        <v>29</v>
      </c>
      <c r="B78" s="57">
        <f t="shared" ref="B78:D78" si="81">SUM(B71:B77)</f>
        <v>53</v>
      </c>
      <c r="C78" s="57">
        <f t="shared" si="81"/>
        <v>152</v>
      </c>
      <c r="D78" s="57">
        <f t="shared" si="81"/>
        <v>205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5">
        <v>9.0</v>
      </c>
      <c r="B79" s="37">
        <v>8.0</v>
      </c>
      <c r="C79" s="37">
        <v>20.0</v>
      </c>
      <c r="D79" s="37">
        <f t="shared" ref="D79:D85" si="82">SUM(B79:C79)</f>
        <v>28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5">
        <v>10.0</v>
      </c>
      <c r="B80" s="37">
        <v>8.0</v>
      </c>
      <c r="C80" s="204">
        <v>16.0</v>
      </c>
      <c r="D80" s="37">
        <f t="shared" si="82"/>
        <v>24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5">
        <v>11.0</v>
      </c>
      <c r="B81" s="37">
        <v>12.0</v>
      </c>
      <c r="C81" s="37">
        <v>29.0</v>
      </c>
      <c r="D81" s="37">
        <f t="shared" si="82"/>
        <v>41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13">
        <v>12.0</v>
      </c>
      <c r="B82" s="214">
        <v>21.0</v>
      </c>
      <c r="C82" s="214">
        <v>31.0</v>
      </c>
      <c r="D82" s="214">
        <f t="shared" si="82"/>
        <v>52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13">
        <v>13.0</v>
      </c>
      <c r="B83" s="46">
        <v>11.0</v>
      </c>
      <c r="C83" s="214">
        <v>30.0</v>
      </c>
      <c r="D83" s="46">
        <f t="shared" si="82"/>
        <v>41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13">
        <v>14.0</v>
      </c>
      <c r="B84" s="46">
        <v>9.0</v>
      </c>
      <c r="C84" s="46">
        <v>25.0</v>
      </c>
      <c r="D84" s="46">
        <f t="shared" si="82"/>
        <v>34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13">
        <v>15.0</v>
      </c>
      <c r="B85" s="46">
        <v>9.0</v>
      </c>
      <c r="C85" s="46">
        <v>28.0</v>
      </c>
      <c r="D85" s="46">
        <f t="shared" si="82"/>
        <v>37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49" t="s">
        <v>29</v>
      </c>
      <c r="B86" s="57">
        <f t="shared" ref="B86:D86" si="83">SUM(B79:B85)</f>
        <v>78</v>
      </c>
      <c r="C86" s="57">
        <f t="shared" si="83"/>
        <v>179</v>
      </c>
      <c r="D86" s="57">
        <f t="shared" si="83"/>
        <v>257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5">
        <v>16.0</v>
      </c>
      <c r="B87" s="204">
        <v>4.0</v>
      </c>
      <c r="C87" s="37">
        <v>26.0</v>
      </c>
      <c r="D87" s="37">
        <f t="shared" ref="D87:D93" si="84">SUM(B87:C87)</f>
        <v>30</v>
      </c>
    </row>
    <row r="88">
      <c r="A88" s="35">
        <v>17.0</v>
      </c>
      <c r="B88" s="37">
        <v>12.0</v>
      </c>
      <c r="C88" s="37">
        <v>18.0</v>
      </c>
      <c r="D88" s="37">
        <f t="shared" si="84"/>
        <v>30</v>
      </c>
    </row>
    <row r="89">
      <c r="A89" s="35">
        <v>18.0</v>
      </c>
      <c r="B89" s="37">
        <v>8.0</v>
      </c>
      <c r="C89" s="37">
        <v>29.0</v>
      </c>
      <c r="D89" s="37">
        <f t="shared" si="84"/>
        <v>37</v>
      </c>
    </row>
    <row r="90">
      <c r="A90" s="35">
        <v>19.0</v>
      </c>
      <c r="B90" s="37">
        <v>12.0</v>
      </c>
      <c r="C90" s="37">
        <v>22.0</v>
      </c>
      <c r="D90" s="37">
        <f t="shared" si="84"/>
        <v>34</v>
      </c>
    </row>
    <row r="91">
      <c r="A91" s="213">
        <v>20.0</v>
      </c>
      <c r="B91" s="46">
        <v>15.0</v>
      </c>
      <c r="C91" s="46">
        <v>29.0</v>
      </c>
      <c r="D91" s="46">
        <f t="shared" si="84"/>
        <v>44</v>
      </c>
    </row>
    <row r="92">
      <c r="A92" s="213">
        <v>21.0</v>
      </c>
      <c r="B92" s="46">
        <v>8.0</v>
      </c>
      <c r="C92" s="46">
        <v>27.0</v>
      </c>
      <c r="D92" s="46">
        <f t="shared" si="84"/>
        <v>35</v>
      </c>
    </row>
    <row r="93">
      <c r="A93" s="213">
        <v>22.0</v>
      </c>
      <c r="B93" s="46">
        <v>8.0</v>
      </c>
      <c r="C93" s="214">
        <v>31.0</v>
      </c>
      <c r="D93" s="46">
        <f t="shared" si="84"/>
        <v>39</v>
      </c>
    </row>
    <row r="94">
      <c r="A94" s="49" t="s">
        <v>29</v>
      </c>
      <c r="B94" s="57">
        <f t="shared" ref="B94:D94" si="85">SUM(B87:B93)</f>
        <v>67</v>
      </c>
      <c r="C94" s="57">
        <f t="shared" si="85"/>
        <v>182</v>
      </c>
      <c r="D94" s="57">
        <f t="shared" si="85"/>
        <v>249</v>
      </c>
    </row>
    <row r="95">
      <c r="A95" s="35">
        <v>23.0</v>
      </c>
      <c r="B95" s="62"/>
      <c r="C95" s="36">
        <f>IFERROR(__xludf.DUMMYFUNCTION("IMPORTRANGE(""https://docs.google.com/spreadsheets/d/1K7R9HaF91GKIINBrlxi4T5IckptozbY1sFDm-U5RNDw/edit?gid=1576804548#gid=1576804548"", ""ИЮНЬ 2025!P29"")"),12.0)</f>
        <v>12</v>
      </c>
      <c r="D95" s="37">
        <f t="shared" ref="D95:D101" si="86">SUM(B95:C95)</f>
        <v>12</v>
      </c>
    </row>
    <row r="96">
      <c r="A96" s="35">
        <v>24.0</v>
      </c>
      <c r="B96" s="62"/>
      <c r="C96" s="36">
        <f>IFERROR(__xludf.DUMMYFUNCTION("IMPORTRANGE(""https://docs.google.com/spreadsheets/d/1K7R9HaF91GKIINBrlxi4T5IckptozbY1sFDm-U5RNDw/edit?gid=1576804548#gid=1576804548"", ""ИЮНЬ 2025!P30"")"),20.0)</f>
        <v>20</v>
      </c>
      <c r="D96" s="37">
        <f t="shared" si="86"/>
        <v>20</v>
      </c>
    </row>
    <row r="97">
      <c r="A97" s="35">
        <v>25.0</v>
      </c>
      <c r="B97" s="62"/>
      <c r="C97" s="36">
        <f>IFERROR(__xludf.DUMMYFUNCTION("IMPORTRANGE(""https://docs.google.com/spreadsheets/d/1K7R9HaF91GKIINBrlxi4T5IckptozbY1sFDm-U5RNDw/edit?gid=1576804548#gid=1576804548"", ""ИЮНЬ 2025!P31"")"),15.0)</f>
        <v>15</v>
      </c>
      <c r="D97" s="37">
        <f t="shared" si="86"/>
        <v>15</v>
      </c>
    </row>
    <row r="98">
      <c r="A98" s="35">
        <v>26.0</v>
      </c>
      <c r="B98" s="62"/>
      <c r="C98" s="36">
        <f>IFERROR(__xludf.DUMMYFUNCTION("IMPORTRANGE(""https://docs.google.com/spreadsheets/d/1K7R9HaF91GKIINBrlxi4T5IckptozbY1sFDm-U5RNDw/edit?gid=1576804548#gid=1576804548"", ""ИЮНЬ 2025!P32"")"),15.0)</f>
        <v>15</v>
      </c>
      <c r="D98" s="37">
        <f t="shared" si="86"/>
        <v>15</v>
      </c>
    </row>
    <row r="99">
      <c r="A99" s="213">
        <v>27.0</v>
      </c>
      <c r="B99" s="215"/>
      <c r="C99" s="215">
        <f>IFERROR(__xludf.DUMMYFUNCTION("IMPORTRANGE(""https://docs.google.com/spreadsheets/d/1K7R9HaF91GKIINBrlxi4T5IckptozbY1sFDm-U5RNDw/edit?gid=1576804548#gid=1576804548"", ""ИЮНЬ 2025!P33"")"),33.0)</f>
        <v>33</v>
      </c>
      <c r="D99" s="46">
        <f t="shared" si="86"/>
        <v>33</v>
      </c>
    </row>
    <row r="100">
      <c r="A100" s="213">
        <v>28.0</v>
      </c>
      <c r="B100" s="215"/>
      <c r="C100" s="215">
        <f>IFERROR(__xludf.DUMMYFUNCTION("IMPORTRANGE(""https://docs.google.com/spreadsheets/d/1K7R9HaF91GKIINBrlxi4T5IckptozbY1sFDm-U5RNDw/edit?gid=1576804548#gid=1576804548"", ""ИЮНЬ 2025!P34"")"),34.0)</f>
        <v>34</v>
      </c>
      <c r="D100" s="46">
        <f t="shared" si="86"/>
        <v>34</v>
      </c>
    </row>
    <row r="101">
      <c r="A101" s="213">
        <v>29.0</v>
      </c>
      <c r="B101" s="215"/>
      <c r="C101" s="215">
        <f>IFERROR(__xludf.DUMMYFUNCTION("IMPORTRANGE(""https://docs.google.com/spreadsheets/d/1K7R9HaF91GKIINBrlxi4T5IckptozbY1sFDm-U5RNDw/edit?gid=1576804548#gid=1576804548"", ""ИЮНЬ 2025!P35"")"),27.0)</f>
        <v>27</v>
      </c>
      <c r="D101" s="46">
        <f t="shared" si="86"/>
        <v>27</v>
      </c>
    </row>
    <row r="102">
      <c r="A102" s="49" t="s">
        <v>29</v>
      </c>
      <c r="B102" s="57">
        <f t="shared" ref="B102:D102" si="87">SUM(B95:B101)</f>
        <v>0</v>
      </c>
      <c r="C102" s="57">
        <f t="shared" si="87"/>
        <v>156</v>
      </c>
      <c r="D102" s="57">
        <f t="shared" si="87"/>
        <v>156</v>
      </c>
    </row>
    <row r="103">
      <c r="A103" s="35">
        <v>30.0</v>
      </c>
      <c r="B103" s="62"/>
      <c r="C103" s="62">
        <f>IFERROR(__xludf.DUMMYFUNCTION("IMPORTRANGE(""https://docs.google.com/spreadsheets/d/1K7R9HaF91GKIINBrlxi4T5IckptozbY1sFDm-U5RNDw/edit?gid=1576804548#gid=1576804548"", ""ИЮНЬ 2025!P37"")"),16.0)</f>
        <v>16</v>
      </c>
      <c r="D103" s="37">
        <f>SUM(B103:C103)</f>
        <v>16</v>
      </c>
    </row>
    <row r="104">
      <c r="A104" s="175" t="s">
        <v>29</v>
      </c>
      <c r="B104" s="57">
        <f t="shared" ref="B104:D104" si="88">SUM(B103)</f>
        <v>0</v>
      </c>
      <c r="C104" s="57">
        <f t="shared" si="88"/>
        <v>16</v>
      </c>
      <c r="D104" s="57">
        <f t="shared" si="88"/>
        <v>16</v>
      </c>
    </row>
    <row r="105">
      <c r="A105" s="32" t="s">
        <v>29</v>
      </c>
      <c r="B105" s="37">
        <f t="shared" ref="B105:C105" si="89">SUM(B78,B86,B94,B102,B104,B70)</f>
        <v>214</v>
      </c>
      <c r="C105" s="37">
        <f t="shared" si="89"/>
        <v>713</v>
      </c>
      <c r="D105" s="37">
        <f>SUM(D78,D86,D94,D102,D104)</f>
        <v>883</v>
      </c>
    </row>
    <row r="106">
      <c r="A106" s="32" t="s">
        <v>31</v>
      </c>
      <c r="B106" s="37">
        <v>320.0</v>
      </c>
      <c r="C106" s="37">
        <v>760.0</v>
      </c>
      <c r="D106" s="37">
        <f>SUM(B106:C106)</f>
        <v>1080</v>
      </c>
    </row>
    <row r="107">
      <c r="A107" s="32" t="s">
        <v>32</v>
      </c>
      <c r="B107" s="65">
        <f t="shared" ref="B107:D107" si="90">B105/B106</f>
        <v>0.66875</v>
      </c>
      <c r="C107" s="65">
        <f t="shared" si="90"/>
        <v>0.9381578947</v>
      </c>
      <c r="D107" s="65">
        <f t="shared" si="90"/>
        <v>0.8175925926</v>
      </c>
    </row>
    <row r="108">
      <c r="A108" s="32" t="s">
        <v>33</v>
      </c>
      <c r="B108" s="36">
        <f t="shared" ref="B108:D108" si="91">B105/31</f>
        <v>6.903225806</v>
      </c>
      <c r="C108" s="36">
        <f t="shared" si="91"/>
        <v>23</v>
      </c>
      <c r="D108" s="36">
        <f t="shared" si="91"/>
        <v>28.48387097</v>
      </c>
    </row>
    <row r="109">
      <c r="A109" s="1"/>
      <c r="B109" s="76">
        <v>9.0</v>
      </c>
      <c r="C109" s="77">
        <v>24.0</v>
      </c>
      <c r="D109" s="76">
        <f>SUM(B109:C109)</f>
        <v>33</v>
      </c>
    </row>
    <row r="110">
      <c r="C110" s="78"/>
    </row>
    <row r="112">
      <c r="A112" s="216" t="s">
        <v>44</v>
      </c>
      <c r="B112" s="27"/>
      <c r="C112" s="27"/>
      <c r="D112" s="28"/>
    </row>
    <row r="113">
      <c r="A113" s="217"/>
      <c r="B113" s="152" t="s">
        <v>522</v>
      </c>
      <c r="C113" s="152" t="s">
        <v>523</v>
      </c>
      <c r="D113" s="217"/>
    </row>
    <row r="114">
      <c r="A114" s="152" t="s">
        <v>48</v>
      </c>
      <c r="B114" s="152">
        <v>1440.0</v>
      </c>
      <c r="C114" s="152">
        <v>1093.0</v>
      </c>
      <c r="D114" s="218">
        <f t="shared" ref="D114:D115" si="92">C114/B114-100%</f>
        <v>-0.2409722222</v>
      </c>
    </row>
    <row r="115">
      <c r="A115" s="152" t="s">
        <v>49</v>
      </c>
      <c r="B115" s="152">
        <v>2531.0</v>
      </c>
      <c r="C115" s="152">
        <v>1780.0</v>
      </c>
      <c r="D115" s="218">
        <f t="shared" si="92"/>
        <v>-0.2967206638</v>
      </c>
    </row>
    <row r="121">
      <c r="A121" s="31"/>
      <c r="B121" s="26" t="s">
        <v>12</v>
      </c>
      <c r="C121" s="27"/>
      <c r="D121" s="27"/>
      <c r="E121" s="27"/>
      <c r="F121" s="27"/>
      <c r="G121" s="28"/>
    </row>
    <row r="122">
      <c r="A122" s="31"/>
      <c r="B122" s="32" t="s">
        <v>15</v>
      </c>
      <c r="C122" s="176" t="s">
        <v>297</v>
      </c>
      <c r="D122" s="32" t="s">
        <v>16</v>
      </c>
      <c r="E122" s="176" t="s">
        <v>297</v>
      </c>
      <c r="F122" s="32" t="s">
        <v>17</v>
      </c>
      <c r="G122" s="176" t="s">
        <v>297</v>
      </c>
    </row>
    <row r="123">
      <c r="A123" s="31" t="s">
        <v>298</v>
      </c>
      <c r="B123" s="177">
        <v>4229840.0</v>
      </c>
      <c r="C123" s="91"/>
      <c r="D123" s="178">
        <v>8393877.0</v>
      </c>
      <c r="E123" s="91"/>
      <c r="F123" s="178">
        <f t="shared" ref="F123:F128" si="93">SUM(D123,B123)</f>
        <v>12623717</v>
      </c>
      <c r="G123" s="91"/>
    </row>
    <row r="124">
      <c r="A124" s="31" t="s">
        <v>299</v>
      </c>
      <c r="B124" s="177">
        <v>4168065.0</v>
      </c>
      <c r="C124" s="179">
        <f t="shared" ref="C124:C128" si="94">B124/B123-100%</f>
        <v>-0.01460457133</v>
      </c>
      <c r="D124" s="178">
        <v>7406290.0</v>
      </c>
      <c r="E124" s="179">
        <f t="shared" ref="E124:E128" si="95">D124/D123-100%</f>
        <v>-0.1176556435</v>
      </c>
      <c r="F124" s="178">
        <f t="shared" si="93"/>
        <v>11574355</v>
      </c>
      <c r="G124" s="179">
        <f t="shared" ref="G124:G128" si="96">F124/F123-100%</f>
        <v>-0.08312622978</v>
      </c>
    </row>
    <row r="125">
      <c r="A125" s="31" t="s">
        <v>300</v>
      </c>
      <c r="B125" s="177">
        <v>4581800.0</v>
      </c>
      <c r="C125" s="180">
        <f t="shared" si="94"/>
        <v>0.09926308731</v>
      </c>
      <c r="D125" s="178">
        <v>8159340.0</v>
      </c>
      <c r="E125" s="180">
        <f t="shared" si="95"/>
        <v>0.101677088</v>
      </c>
      <c r="F125" s="178">
        <f t="shared" si="93"/>
        <v>12741140</v>
      </c>
      <c r="G125" s="180">
        <f t="shared" si="96"/>
        <v>0.1008077772</v>
      </c>
    </row>
    <row r="126">
      <c r="A126" s="31" t="s">
        <v>63</v>
      </c>
      <c r="B126" s="177">
        <v>3879279.0</v>
      </c>
      <c r="C126" s="179">
        <f t="shared" si="94"/>
        <v>-0.1533286045</v>
      </c>
      <c r="D126" s="178">
        <v>7242405.0</v>
      </c>
      <c r="E126" s="179">
        <f t="shared" si="95"/>
        <v>-0.1123785747</v>
      </c>
      <c r="F126" s="178">
        <f t="shared" si="93"/>
        <v>11121684</v>
      </c>
      <c r="G126" s="179">
        <f t="shared" si="96"/>
        <v>-0.127104482</v>
      </c>
    </row>
    <row r="127">
      <c r="A127" s="31" t="s">
        <v>67</v>
      </c>
      <c r="B127" s="177">
        <v>4757492.0</v>
      </c>
      <c r="C127" s="180">
        <f t="shared" si="94"/>
        <v>0.2263856248</v>
      </c>
      <c r="D127" s="178">
        <v>8577656.0</v>
      </c>
      <c r="E127" s="180">
        <f t="shared" si="95"/>
        <v>0.1843656907</v>
      </c>
      <c r="F127" s="178">
        <f t="shared" si="93"/>
        <v>13335148</v>
      </c>
      <c r="G127" s="180">
        <f t="shared" si="96"/>
        <v>0.1990223783</v>
      </c>
    </row>
    <row r="128">
      <c r="A128" s="31" t="s">
        <v>71</v>
      </c>
      <c r="B128" s="177">
        <f>E60</f>
        <v>4452951</v>
      </c>
      <c r="C128" s="179">
        <f t="shared" si="94"/>
        <v>-0.0640129295</v>
      </c>
      <c r="D128" s="178">
        <f>E61</f>
        <v>8108611</v>
      </c>
      <c r="E128" s="179">
        <f t="shared" si="95"/>
        <v>-0.05468218823</v>
      </c>
      <c r="F128" s="178">
        <f t="shared" si="93"/>
        <v>12561562</v>
      </c>
      <c r="G128" s="179">
        <f t="shared" si="96"/>
        <v>-0.0580110547</v>
      </c>
    </row>
  </sheetData>
  <mergeCells count="11">
    <mergeCell ref="E63:G66"/>
    <mergeCell ref="F67:N108"/>
    <mergeCell ref="A112:D112"/>
    <mergeCell ref="B121:G121"/>
    <mergeCell ref="A2:G3"/>
    <mergeCell ref="A8:G9"/>
    <mergeCell ref="B14:D14"/>
    <mergeCell ref="E14:F14"/>
    <mergeCell ref="G14:H14"/>
    <mergeCell ref="A57:G58"/>
    <mergeCell ref="A67:D67"/>
  </mergeCells>
  <conditionalFormatting sqref="F11:G12 F60:G61 F5:G6">
    <cfRule type="cellIs" dxfId="0" priority="1" operator="greaterThanOrEqual">
      <formula>"100%"</formula>
    </cfRule>
  </conditionalFormatting>
  <conditionalFormatting sqref="F60:G61 F11:G12 F5:G6">
    <cfRule type="cellIs" dxfId="1" priority="2" operator="lessThanOrEqual">
      <formula>"99%"</formula>
    </cfRule>
  </conditionalFormatting>
  <conditionalFormatting sqref="B107:D107 B54:D54">
    <cfRule type="cellIs" dxfId="0" priority="3" operator="greaterThanOrEqual">
      <formula>"100%"</formula>
    </cfRule>
  </conditionalFormatting>
  <conditionalFormatting sqref="B107:D107 B54:D54">
    <cfRule type="cellIs" dxfId="1" priority="4" operator="lessThanOrEqual">
      <formula>"99%"</formula>
    </cfRule>
  </conditionalFormatting>
  <conditionalFormatting sqref="B54:D54">
    <cfRule type="notContainsBlanks" dxfId="3" priority="5">
      <formula>LEN(TRIM(B54))&gt;0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3.5"/>
    <col customWidth="1" min="3" max="3" width="21.88"/>
    <col customWidth="1" min="4" max="4" width="27.75"/>
    <col customWidth="1" min="7" max="7" width="36.0"/>
    <col customWidth="1" min="8" max="8" width="20.13"/>
    <col customWidth="1" min="9" max="9" width="17.75"/>
    <col customWidth="1" min="10" max="10" width="26.0"/>
    <col customWidth="1" min="19" max="19" width="21.25"/>
    <col customWidth="1" min="21" max="21" width="20.88"/>
  </cols>
  <sheetData>
    <row r="3">
      <c r="J3" s="145" t="s">
        <v>257</v>
      </c>
    </row>
    <row r="49" ht="22.5" customHeight="1"/>
    <row r="66">
      <c r="A66" s="2" t="s">
        <v>259</v>
      </c>
      <c r="B66" s="3"/>
      <c r="C66" s="3"/>
      <c r="D66" s="4"/>
    </row>
    <row r="67">
      <c r="A67" s="6"/>
      <c r="B67" s="7"/>
      <c r="C67" s="7"/>
      <c r="D67" s="8"/>
    </row>
    <row r="68">
      <c r="A68" s="24"/>
      <c r="B68" s="152" t="s">
        <v>67</v>
      </c>
      <c r="C68" s="152" t="s">
        <v>71</v>
      </c>
      <c r="D68" s="10" t="s">
        <v>524</v>
      </c>
    </row>
    <row r="69">
      <c r="A69" s="9" t="s">
        <v>261</v>
      </c>
      <c r="B69" s="207">
        <v>19927.0</v>
      </c>
      <c r="C69" s="207">
        <v>6418.0</v>
      </c>
      <c r="D69" s="15">
        <f t="shared" ref="D69:D76" si="1">C69/B69-100%</f>
        <v>-0.6779244241</v>
      </c>
    </row>
    <row r="70">
      <c r="A70" s="9" t="s">
        <v>262</v>
      </c>
      <c r="B70" s="207">
        <v>125960.0</v>
      </c>
      <c r="C70" s="207">
        <v>54766.0</v>
      </c>
      <c r="D70" s="15">
        <f t="shared" si="1"/>
        <v>-0.5652111782</v>
      </c>
    </row>
    <row r="71">
      <c r="A71" s="9" t="s">
        <v>263</v>
      </c>
      <c r="B71" s="207">
        <v>747.0</v>
      </c>
      <c r="C71" s="207">
        <v>181.0</v>
      </c>
      <c r="D71" s="149">
        <f t="shared" si="1"/>
        <v>-0.7576974565</v>
      </c>
    </row>
    <row r="72">
      <c r="A72" s="9" t="s">
        <v>264</v>
      </c>
      <c r="B72" s="207">
        <v>1696.0</v>
      </c>
      <c r="C72" s="207">
        <v>3.0</v>
      </c>
      <c r="D72" s="15">
        <f t="shared" si="1"/>
        <v>-0.9982311321</v>
      </c>
    </row>
    <row r="73">
      <c r="A73" s="9" t="s">
        <v>265</v>
      </c>
      <c r="B73" s="207">
        <v>208.0</v>
      </c>
      <c r="C73" s="207">
        <v>100.0</v>
      </c>
      <c r="D73" s="15">
        <f t="shared" si="1"/>
        <v>-0.5192307692</v>
      </c>
    </row>
    <row r="74">
      <c r="A74" s="9" t="s">
        <v>266</v>
      </c>
      <c r="B74" s="207">
        <v>147.0</v>
      </c>
      <c r="C74" s="207">
        <v>0.0</v>
      </c>
      <c r="D74" s="15">
        <f t="shared" si="1"/>
        <v>-1</v>
      </c>
    </row>
    <row r="75">
      <c r="A75" s="9" t="s">
        <v>267</v>
      </c>
      <c r="B75" s="207">
        <v>5.0</v>
      </c>
      <c r="C75" s="207">
        <v>2.0</v>
      </c>
      <c r="D75" s="149">
        <f t="shared" si="1"/>
        <v>-0.6</v>
      </c>
    </row>
    <row r="76">
      <c r="A76" s="9" t="s">
        <v>268</v>
      </c>
      <c r="B76" s="207">
        <v>10.0</v>
      </c>
      <c r="C76" s="207">
        <v>10.0</v>
      </c>
      <c r="D76" s="15">
        <f t="shared" si="1"/>
        <v>0</v>
      </c>
    </row>
    <row r="77">
      <c r="A77" s="20" t="s">
        <v>269</v>
      </c>
      <c r="B77" s="150">
        <f>9018/8873-100%</f>
        <v>0.01634171081</v>
      </c>
      <c r="C77" s="150">
        <f>9080/9018-100%</f>
        <v>0.006875138612</v>
      </c>
      <c r="D77" s="15">
        <f>C77-B77</f>
        <v>-0.009466572196</v>
      </c>
    </row>
    <row r="82">
      <c r="A82" s="2" t="s">
        <v>270</v>
      </c>
      <c r="B82" s="3"/>
      <c r="C82" s="3"/>
      <c r="D82" s="4"/>
      <c r="G82" s="158" t="s">
        <v>525</v>
      </c>
      <c r="H82" s="3"/>
      <c r="I82" s="3"/>
      <c r="J82" s="4"/>
    </row>
    <row r="83">
      <c r="A83" s="6"/>
      <c r="B83" s="7"/>
      <c r="C83" s="7"/>
      <c r="D83" s="8"/>
      <c r="G83" s="6"/>
      <c r="H83" s="7"/>
      <c r="I83" s="7"/>
      <c r="J83" s="8"/>
    </row>
    <row r="84">
      <c r="A84" s="24"/>
      <c r="B84" s="152" t="s">
        <v>526</v>
      </c>
      <c r="C84" s="152" t="s">
        <v>398</v>
      </c>
      <c r="D84" s="22" t="s">
        <v>527</v>
      </c>
      <c r="G84" s="24"/>
      <c r="H84" s="152" t="s">
        <v>526</v>
      </c>
      <c r="I84" s="152" t="s">
        <v>398</v>
      </c>
      <c r="J84" s="22" t="s">
        <v>527</v>
      </c>
    </row>
    <row r="85">
      <c r="A85" s="20" t="s">
        <v>273</v>
      </c>
      <c r="B85" s="152">
        <v>3177.0</v>
      </c>
      <c r="C85" s="152">
        <v>2295.0</v>
      </c>
      <c r="D85" s="23">
        <f t="shared" ref="D85:D97" si="2">C85/B85-100%</f>
        <v>-0.2776203966</v>
      </c>
      <c r="G85" s="20" t="s">
        <v>273</v>
      </c>
      <c r="H85" s="219">
        <v>378386.0</v>
      </c>
      <c r="I85" s="219"/>
      <c r="J85" s="23"/>
    </row>
    <row r="86">
      <c r="A86" s="20" t="s">
        <v>274</v>
      </c>
      <c r="B86" s="152">
        <v>309.0</v>
      </c>
      <c r="C86" s="152">
        <v>291.0</v>
      </c>
      <c r="D86" s="23">
        <f t="shared" si="2"/>
        <v>-0.05825242718</v>
      </c>
      <c r="G86" s="20" t="s">
        <v>274</v>
      </c>
      <c r="H86" s="220">
        <v>6121.0</v>
      </c>
      <c r="I86" s="220"/>
      <c r="J86" s="155"/>
    </row>
    <row r="87">
      <c r="A87" s="20" t="s">
        <v>275</v>
      </c>
      <c r="B87" s="152">
        <v>9.73</v>
      </c>
      <c r="C87" s="152">
        <v>12.68</v>
      </c>
      <c r="D87" s="155">
        <f t="shared" si="2"/>
        <v>0.3031860226</v>
      </c>
      <c r="G87" s="20" t="s">
        <v>275</v>
      </c>
      <c r="H87" s="220">
        <v>1.62</v>
      </c>
      <c r="I87" s="220"/>
      <c r="J87" s="155"/>
    </row>
    <row r="88">
      <c r="A88" s="20" t="s">
        <v>276</v>
      </c>
      <c r="B88" s="152">
        <v>15900.0</v>
      </c>
      <c r="C88" s="152">
        <v>16800.0</v>
      </c>
      <c r="D88" s="23">
        <f t="shared" si="2"/>
        <v>0.05660377358</v>
      </c>
      <c r="G88" s="20" t="s">
        <v>276</v>
      </c>
      <c r="H88" s="220">
        <v>10956.84</v>
      </c>
      <c r="I88" s="220"/>
      <c r="J88" s="155"/>
    </row>
    <row r="89">
      <c r="A89" s="20" t="s">
        <v>277</v>
      </c>
      <c r="B89" s="152">
        <v>51.46</v>
      </c>
      <c r="C89" s="152">
        <v>57.73</v>
      </c>
      <c r="D89" s="23">
        <f t="shared" si="2"/>
        <v>0.1218422075</v>
      </c>
      <c r="G89" s="20" t="s">
        <v>277</v>
      </c>
      <c r="H89" s="220">
        <v>1.79</v>
      </c>
      <c r="I89" s="220"/>
      <c r="J89" s="155"/>
    </row>
    <row r="90">
      <c r="A90" s="20" t="s">
        <v>278</v>
      </c>
      <c r="B90" s="152">
        <v>4.03</v>
      </c>
      <c r="C90" s="152">
        <v>4.41</v>
      </c>
      <c r="D90" s="155">
        <f t="shared" si="2"/>
        <v>0.09429280397</v>
      </c>
      <c r="G90" s="20" t="s">
        <v>279</v>
      </c>
      <c r="H90" s="220">
        <v>4.51</v>
      </c>
      <c r="I90" s="220"/>
      <c r="J90" s="155"/>
    </row>
    <row r="91">
      <c r="A91" s="20" t="s">
        <v>279</v>
      </c>
      <c r="B91" s="152">
        <v>83.17</v>
      </c>
      <c r="C91" s="152">
        <v>82.13</v>
      </c>
      <c r="D91" s="23">
        <f t="shared" si="2"/>
        <v>-0.01250450884</v>
      </c>
      <c r="G91" s="20" t="s">
        <v>281</v>
      </c>
      <c r="H91" s="220">
        <v>276.0</v>
      </c>
      <c r="I91" s="220"/>
      <c r="J91" s="155"/>
    </row>
    <row r="92">
      <c r="A92" s="20" t="s">
        <v>280</v>
      </c>
      <c r="B92" s="152">
        <v>61.87</v>
      </c>
      <c r="C92" s="152">
        <v>70.29</v>
      </c>
      <c r="D92" s="23">
        <f t="shared" si="2"/>
        <v>0.1360918054</v>
      </c>
      <c r="G92" s="22" t="s">
        <v>528</v>
      </c>
      <c r="H92" s="220">
        <v>39.7</v>
      </c>
      <c r="I92" s="220"/>
      <c r="J92" s="155"/>
    </row>
    <row r="93">
      <c r="A93" s="20" t="s">
        <v>281</v>
      </c>
      <c r="B93" s="152">
        <v>257.0</v>
      </c>
      <c r="C93" s="152">
        <v>239.0</v>
      </c>
      <c r="D93" s="23">
        <f t="shared" si="2"/>
        <v>-0.07003891051</v>
      </c>
    </row>
    <row r="94">
      <c r="A94" s="20" t="s">
        <v>529</v>
      </c>
      <c r="B94" s="152">
        <v>18.37</v>
      </c>
      <c r="C94" s="152">
        <v>19.91</v>
      </c>
      <c r="D94" s="155">
        <f t="shared" si="2"/>
        <v>0.08383233533</v>
      </c>
      <c r="G94" s="156"/>
      <c r="H94" s="156"/>
      <c r="I94" s="153"/>
      <c r="J94" s="157"/>
    </row>
    <row r="95">
      <c r="A95" s="20" t="s">
        <v>530</v>
      </c>
      <c r="B95" s="152">
        <v>5.16</v>
      </c>
      <c r="C95" s="152">
        <v>4.78</v>
      </c>
      <c r="D95" s="155">
        <f t="shared" si="2"/>
        <v>-0.07364341085</v>
      </c>
      <c r="G95" s="156"/>
      <c r="H95" s="156"/>
      <c r="I95" s="153"/>
      <c r="J95" s="157"/>
    </row>
    <row r="96">
      <c r="A96" s="20" t="s">
        <v>531</v>
      </c>
      <c r="B96" s="152">
        <v>308055.0</v>
      </c>
      <c r="C96" s="152">
        <v>351277.0</v>
      </c>
      <c r="D96" s="155">
        <f t="shared" si="2"/>
        <v>0.1403061142</v>
      </c>
    </row>
    <row r="97">
      <c r="A97" s="20" t="s">
        <v>532</v>
      </c>
      <c r="B97" s="152">
        <v>292155.0</v>
      </c>
      <c r="C97" s="152">
        <v>334477.0</v>
      </c>
      <c r="D97" s="155">
        <f t="shared" si="2"/>
        <v>0.1448614605</v>
      </c>
      <c r="G97" s="156"/>
      <c r="H97" s="156"/>
      <c r="I97" s="153"/>
      <c r="J97" s="157"/>
    </row>
    <row r="100">
      <c r="A100" s="158" t="s">
        <v>282</v>
      </c>
      <c r="B100" s="3"/>
      <c r="C100" s="3"/>
      <c r="D100" s="4"/>
      <c r="E100" s="159"/>
      <c r="F100" s="159"/>
      <c r="G100" s="158" t="s">
        <v>283</v>
      </c>
      <c r="H100" s="3"/>
      <c r="I100" s="3"/>
      <c r="J100" s="4"/>
    </row>
    <row r="101">
      <c r="A101" s="6"/>
      <c r="B101" s="7"/>
      <c r="C101" s="7"/>
      <c r="D101" s="8"/>
      <c r="E101" s="159"/>
      <c r="F101" s="159"/>
      <c r="G101" s="6"/>
      <c r="H101" s="7"/>
      <c r="I101" s="7"/>
      <c r="J101" s="8"/>
    </row>
    <row r="102">
      <c r="A102" s="24"/>
      <c r="B102" s="152" t="s">
        <v>526</v>
      </c>
      <c r="C102" s="152" t="s">
        <v>398</v>
      </c>
      <c r="D102" s="22" t="s">
        <v>527</v>
      </c>
      <c r="E102" s="159"/>
      <c r="F102" s="159"/>
      <c r="G102" s="24"/>
      <c r="H102" s="152" t="s">
        <v>526</v>
      </c>
      <c r="I102" s="152" t="s">
        <v>398</v>
      </c>
      <c r="J102" s="22" t="s">
        <v>527</v>
      </c>
    </row>
    <row r="103">
      <c r="A103" s="20" t="s">
        <v>273</v>
      </c>
      <c r="B103" s="152">
        <v>233680.0</v>
      </c>
      <c r="C103" s="152">
        <v>280239.0</v>
      </c>
      <c r="D103" s="160">
        <f t="shared" ref="D103:D111" si="3">C103/B103-100%</f>
        <v>0.1992425539</v>
      </c>
      <c r="E103" s="159"/>
      <c r="F103" s="159"/>
      <c r="G103" s="20" t="s">
        <v>273</v>
      </c>
      <c r="H103" s="152">
        <v>378386.0</v>
      </c>
      <c r="I103" s="152">
        <v>51216.0</v>
      </c>
      <c r="J103" s="160">
        <f t="shared" ref="J103:J110" si="4">I103/H103-100%</f>
        <v>-0.864646155</v>
      </c>
    </row>
    <row r="104">
      <c r="A104" s="20" t="s">
        <v>274</v>
      </c>
      <c r="B104" s="152">
        <v>11406.0</v>
      </c>
      <c r="C104" s="152">
        <v>12256.0</v>
      </c>
      <c r="D104" s="160">
        <f t="shared" si="3"/>
        <v>0.07452218131</v>
      </c>
      <c r="E104" s="159"/>
      <c r="F104" s="159"/>
      <c r="G104" s="20" t="s">
        <v>274</v>
      </c>
      <c r="H104" s="152">
        <v>6121.0</v>
      </c>
      <c r="I104" s="152">
        <v>4675.0</v>
      </c>
      <c r="J104" s="160">
        <f t="shared" si="4"/>
        <v>-0.2362359092</v>
      </c>
    </row>
    <row r="105">
      <c r="A105" s="20" t="s">
        <v>275</v>
      </c>
      <c r="B105" s="152">
        <v>4.88</v>
      </c>
      <c r="C105" s="152">
        <v>4.37</v>
      </c>
      <c r="D105" s="160">
        <f t="shared" si="3"/>
        <v>-0.1045081967</v>
      </c>
      <c r="E105" s="159"/>
      <c r="F105" s="159"/>
      <c r="G105" s="20" t="s">
        <v>275</v>
      </c>
      <c r="H105" s="152">
        <v>1.62</v>
      </c>
      <c r="I105" s="152">
        <v>9.13</v>
      </c>
      <c r="J105" s="160">
        <f t="shared" si="4"/>
        <v>4.635802469</v>
      </c>
    </row>
    <row r="106">
      <c r="A106" s="20" t="s">
        <v>276</v>
      </c>
      <c r="B106" s="152">
        <v>120663.0</v>
      </c>
      <c r="C106" s="152">
        <v>55762.0</v>
      </c>
      <c r="D106" s="160">
        <f t="shared" si="3"/>
        <v>-0.5378699353</v>
      </c>
      <c r="E106" s="159"/>
      <c r="F106" s="159"/>
      <c r="G106" s="20" t="s">
        <v>276</v>
      </c>
      <c r="H106" s="152">
        <v>10956.0</v>
      </c>
      <c r="I106" s="152">
        <v>8032.0</v>
      </c>
      <c r="J106" s="160">
        <f t="shared" si="4"/>
        <v>-0.2668857247</v>
      </c>
    </row>
    <row r="107">
      <c r="A107" s="20" t="s">
        <v>277</v>
      </c>
      <c r="B107" s="152">
        <v>10.58</v>
      </c>
      <c r="C107" s="152">
        <v>4.55</v>
      </c>
      <c r="D107" s="160">
        <f t="shared" si="3"/>
        <v>-0.5699432892</v>
      </c>
      <c r="E107" s="159"/>
      <c r="F107" s="159"/>
      <c r="G107" s="20" t="s">
        <v>277</v>
      </c>
      <c r="H107" s="152">
        <v>1.79</v>
      </c>
      <c r="I107" s="152">
        <v>1.72</v>
      </c>
      <c r="J107" s="160">
        <f t="shared" si="4"/>
        <v>-0.03910614525</v>
      </c>
    </row>
    <row r="108">
      <c r="A108" s="20" t="s">
        <v>279</v>
      </c>
      <c r="B108" s="152">
        <v>15.98</v>
      </c>
      <c r="C108" s="152">
        <v>6.49</v>
      </c>
      <c r="D108" s="160">
        <f t="shared" si="3"/>
        <v>-0.5938673342</v>
      </c>
      <c r="E108" s="159"/>
      <c r="F108" s="159"/>
      <c r="G108" s="20" t="s">
        <v>279</v>
      </c>
      <c r="H108" s="152">
        <v>4.59</v>
      </c>
      <c r="I108" s="152">
        <v>9.99</v>
      </c>
      <c r="J108" s="160">
        <f t="shared" si="4"/>
        <v>1.176470588</v>
      </c>
    </row>
    <row r="109">
      <c r="A109" s="20" t="s">
        <v>280</v>
      </c>
      <c r="B109" s="152">
        <v>66.19</v>
      </c>
      <c r="C109" s="152">
        <v>70.14</v>
      </c>
      <c r="D109" s="160">
        <f t="shared" si="3"/>
        <v>0.05967668832</v>
      </c>
      <c r="E109" s="159"/>
      <c r="F109" s="159"/>
      <c r="G109" s="20" t="s">
        <v>280</v>
      </c>
      <c r="H109" s="152">
        <v>38.99</v>
      </c>
      <c r="I109" s="152">
        <v>17.2</v>
      </c>
      <c r="J109" s="160">
        <f t="shared" si="4"/>
        <v>-0.5588612465</v>
      </c>
    </row>
    <row r="110">
      <c r="A110" s="20" t="s">
        <v>281</v>
      </c>
      <c r="B110" s="152">
        <v>1823.0</v>
      </c>
      <c r="C110" s="152">
        <v>795.0</v>
      </c>
      <c r="D110" s="160">
        <f t="shared" si="3"/>
        <v>-0.56390565</v>
      </c>
      <c r="E110" s="159"/>
      <c r="F110" s="159"/>
      <c r="G110" s="20" t="s">
        <v>281</v>
      </c>
      <c r="H110" s="152">
        <v>281.0</v>
      </c>
      <c r="I110" s="152">
        <v>467.0</v>
      </c>
      <c r="J110" s="161">
        <f t="shared" si="4"/>
        <v>0.6619217082</v>
      </c>
    </row>
    <row r="111">
      <c r="A111" s="20" t="s">
        <v>278</v>
      </c>
      <c r="B111" s="152">
        <v>2.12</v>
      </c>
      <c r="C111" s="152">
        <v>1.51</v>
      </c>
      <c r="D111" s="160">
        <f t="shared" si="3"/>
        <v>-0.2877358491</v>
      </c>
      <c r="E111" s="159"/>
      <c r="F111" s="159"/>
      <c r="G111" s="159"/>
      <c r="H111" s="159"/>
      <c r="J111" s="162"/>
    </row>
    <row r="112">
      <c r="A112" s="159"/>
      <c r="B112" s="159"/>
      <c r="C112" s="159"/>
      <c r="D112" s="159"/>
      <c r="E112" s="159"/>
      <c r="F112" s="159"/>
      <c r="G112" s="159"/>
      <c r="H112" s="159"/>
    </row>
    <row r="113">
      <c r="E113" s="159"/>
      <c r="F113" s="159"/>
      <c r="G113" s="159"/>
      <c r="H113" s="159"/>
    </row>
    <row r="114">
      <c r="A114" s="158" t="s">
        <v>286</v>
      </c>
      <c r="B114" s="3"/>
      <c r="C114" s="3"/>
      <c r="D114" s="4"/>
      <c r="E114" s="159"/>
      <c r="F114" s="159"/>
      <c r="G114" s="158" t="s">
        <v>287</v>
      </c>
      <c r="H114" s="3"/>
      <c r="I114" s="3"/>
      <c r="J114" s="4"/>
    </row>
    <row r="115">
      <c r="A115" s="6"/>
      <c r="B115" s="7"/>
      <c r="C115" s="7"/>
      <c r="D115" s="8"/>
      <c r="E115" s="159"/>
      <c r="F115" s="159"/>
      <c r="G115" s="6"/>
      <c r="H115" s="7"/>
      <c r="I115" s="7"/>
      <c r="J115" s="8"/>
    </row>
    <row r="116">
      <c r="A116" s="24"/>
      <c r="B116" s="152" t="s">
        <v>526</v>
      </c>
      <c r="C116" s="152" t="s">
        <v>398</v>
      </c>
      <c r="D116" s="22" t="s">
        <v>527</v>
      </c>
      <c r="E116" s="159"/>
      <c r="F116" s="159"/>
      <c r="G116" s="24"/>
      <c r="H116" s="152" t="s">
        <v>526</v>
      </c>
      <c r="I116" s="152" t="s">
        <v>398</v>
      </c>
      <c r="J116" s="22" t="s">
        <v>527</v>
      </c>
    </row>
    <row r="117">
      <c r="A117" s="20" t="s">
        <v>273</v>
      </c>
      <c r="B117" s="152"/>
      <c r="C117" s="152">
        <v>100073.0</v>
      </c>
      <c r="D117" s="160" t="str">
        <f t="shared" ref="D117:D125" si="5">C117/B117-100%</f>
        <v>#DIV/0!</v>
      </c>
      <c r="E117" s="159"/>
      <c r="F117" s="159"/>
      <c r="G117" s="20" t="s">
        <v>273</v>
      </c>
      <c r="H117" s="152"/>
      <c r="I117" s="152">
        <v>29036.0</v>
      </c>
      <c r="J117" s="160" t="str">
        <f t="shared" ref="J117:J124" si="6">I117/H117-100%</f>
        <v>#DIV/0!</v>
      </c>
    </row>
    <row r="118">
      <c r="A118" s="20" t="s">
        <v>274</v>
      </c>
      <c r="B118" s="152"/>
      <c r="C118" s="152">
        <v>5104.0</v>
      </c>
      <c r="D118" s="160" t="str">
        <f t="shared" si="5"/>
        <v>#DIV/0!</v>
      </c>
      <c r="E118" s="159"/>
      <c r="F118" s="159"/>
      <c r="G118" s="20" t="s">
        <v>274</v>
      </c>
      <c r="H118" s="152"/>
      <c r="I118" s="152">
        <v>1909.0</v>
      </c>
      <c r="J118" s="160" t="str">
        <f t="shared" si="6"/>
        <v>#DIV/0!</v>
      </c>
    </row>
    <row r="119">
      <c r="A119" s="20" t="s">
        <v>275</v>
      </c>
      <c r="B119" s="152"/>
      <c r="C119" s="152">
        <v>5.1</v>
      </c>
      <c r="D119" s="160" t="str">
        <f t="shared" si="5"/>
        <v>#DIV/0!</v>
      </c>
      <c r="G119" s="20" t="s">
        <v>275</v>
      </c>
      <c r="H119" s="152"/>
      <c r="I119" s="152">
        <v>6.57</v>
      </c>
      <c r="J119" s="160" t="str">
        <f t="shared" si="6"/>
        <v>#DIV/0!</v>
      </c>
    </row>
    <row r="120">
      <c r="A120" s="20" t="s">
        <v>276</v>
      </c>
      <c r="B120" s="152"/>
      <c r="C120" s="152">
        <v>6970.0</v>
      </c>
      <c r="D120" s="160" t="str">
        <f t="shared" si="5"/>
        <v>#DIV/0!</v>
      </c>
      <c r="G120" s="20" t="s">
        <v>276</v>
      </c>
      <c r="H120" s="152"/>
      <c r="I120" s="152">
        <v>4195.0</v>
      </c>
      <c r="J120" s="160" t="str">
        <f t="shared" si="6"/>
        <v>#DIV/0!</v>
      </c>
    </row>
    <row r="121">
      <c r="A121" s="20" t="s">
        <v>277</v>
      </c>
      <c r="B121" s="152"/>
      <c r="C121" s="152">
        <v>1.37</v>
      </c>
      <c r="D121" s="160" t="str">
        <f t="shared" si="5"/>
        <v>#DIV/0!</v>
      </c>
      <c r="G121" s="20" t="s">
        <v>277</v>
      </c>
      <c r="H121" s="152"/>
      <c r="I121" s="152">
        <v>2.2</v>
      </c>
      <c r="J121" s="160" t="str">
        <f t="shared" si="6"/>
        <v>#DIV/0!</v>
      </c>
    </row>
    <row r="122">
      <c r="A122" s="20" t="s">
        <v>279</v>
      </c>
      <c r="B122" s="152"/>
      <c r="C122" s="152">
        <v>1.04</v>
      </c>
      <c r="D122" s="160" t="str">
        <f t="shared" si="5"/>
        <v>#DIV/0!</v>
      </c>
      <c r="G122" s="20" t="s">
        <v>279</v>
      </c>
      <c r="H122" s="152"/>
      <c r="I122" s="152">
        <v>0.31</v>
      </c>
      <c r="J122" s="160" t="str">
        <f t="shared" si="6"/>
        <v>#DIV/0!</v>
      </c>
    </row>
    <row r="123">
      <c r="A123" s="20" t="s">
        <v>280</v>
      </c>
      <c r="B123" s="152"/>
      <c r="C123" s="152">
        <v>131.0</v>
      </c>
      <c r="D123" s="160" t="str">
        <f t="shared" si="5"/>
        <v>#DIV/0!</v>
      </c>
      <c r="G123" s="20" t="s">
        <v>280</v>
      </c>
      <c r="H123" s="152"/>
      <c r="I123" s="152">
        <v>699.0</v>
      </c>
      <c r="J123" s="160" t="str">
        <f t="shared" si="6"/>
        <v>#DIV/0!</v>
      </c>
    </row>
    <row r="124">
      <c r="A124" s="20" t="s">
        <v>281</v>
      </c>
      <c r="B124" s="152"/>
      <c r="C124" s="152">
        <v>53.0</v>
      </c>
      <c r="D124" s="160" t="str">
        <f t="shared" si="5"/>
        <v>#DIV/0!</v>
      </c>
      <c r="G124" s="20" t="s">
        <v>281</v>
      </c>
      <c r="H124" s="152"/>
      <c r="I124" s="152">
        <v>6.0</v>
      </c>
      <c r="J124" s="161" t="str">
        <f t="shared" si="6"/>
        <v>#DIV/0!</v>
      </c>
    </row>
    <row r="125">
      <c r="A125" s="20" t="s">
        <v>278</v>
      </c>
      <c r="B125" s="152"/>
      <c r="C125" s="152">
        <v>1.04</v>
      </c>
      <c r="D125" s="160" t="str">
        <f t="shared" si="5"/>
        <v>#DIV/0!</v>
      </c>
      <c r="J125" s="162"/>
    </row>
    <row r="139">
      <c r="A139" s="5"/>
      <c r="B139" s="163"/>
      <c r="C139" s="163"/>
      <c r="D139" s="163"/>
      <c r="E139" s="163"/>
      <c r="F139" s="163"/>
      <c r="G139" s="163"/>
    </row>
    <row r="140">
      <c r="A140" s="164"/>
      <c r="B140" s="164"/>
      <c r="C140" s="164"/>
      <c r="D140" s="164"/>
      <c r="E140" s="165"/>
      <c r="F140" s="165"/>
      <c r="G140" s="165"/>
    </row>
    <row r="141">
      <c r="A141" s="163"/>
      <c r="B141" s="163"/>
      <c r="C141" s="163"/>
      <c r="D141" s="163"/>
      <c r="E141" s="166"/>
      <c r="F141" s="166"/>
      <c r="G141" s="166"/>
    </row>
  </sheetData>
  <mergeCells count="8">
    <mergeCell ref="J3:L7"/>
    <mergeCell ref="A66:D67"/>
    <mergeCell ref="A82:D83"/>
    <mergeCell ref="G82:J83"/>
    <mergeCell ref="A100:D101"/>
    <mergeCell ref="G100:J101"/>
    <mergeCell ref="A114:D115"/>
    <mergeCell ref="G114:J115"/>
  </mergeCells>
  <conditionalFormatting sqref="D69:D77">
    <cfRule type="cellIs" dxfId="5" priority="1" operator="greaterThanOrEqual">
      <formula>"1%"</formula>
    </cfRule>
  </conditionalFormatting>
  <conditionalFormatting sqref="D69:D77">
    <cfRule type="cellIs" dxfId="1" priority="2" operator="lessThanOrEqual">
      <formula>"0%"</formula>
    </cfRule>
  </conditionalFormatting>
  <conditionalFormatting sqref="D103:D105 J103:J105 D108 J108 D110:D111 J110:J111 D117:D119 J117:J119 D122 J122 D124:D125 J124:J125">
    <cfRule type="cellIs" dxfId="0" priority="3" operator="greaterThanOrEqual">
      <formula>"1%"</formula>
    </cfRule>
  </conditionalFormatting>
  <conditionalFormatting sqref="D103:D105 J103:J105 D108 J108 D110:D111 J110:J111 D117:D119 J117:J119 D122 J122 D124:D125 J124:J125">
    <cfRule type="cellIs" dxfId="1" priority="4" operator="lessThanOrEqual">
      <formula>"0%"</formula>
    </cfRule>
  </conditionalFormatting>
  <conditionalFormatting sqref="D106:D107 J106:J107 D109 J109 D120:D121 J120:J121 D123 J123">
    <cfRule type="cellIs" dxfId="1" priority="5" operator="greaterThanOrEqual">
      <formula>"0%"</formula>
    </cfRule>
  </conditionalFormatting>
  <conditionalFormatting sqref="D106:D107 J106:J107 D109 J109 D120:D121 J120:J121 D123 J123">
    <cfRule type="cellIs" dxfId="0" priority="6" operator="lessThanOrEqual">
      <formula>"-1%"</formula>
    </cfRule>
  </conditionalFormatting>
  <conditionalFormatting sqref="D85:D87 D90:D91 D93:D94 D96:D97 D129">
    <cfRule type="cellIs" dxfId="0" priority="7" operator="greaterThanOrEqual">
      <formula>"1%"</formula>
    </cfRule>
  </conditionalFormatting>
  <conditionalFormatting sqref="D85:D87 D90:D91 D93:D94 D96:D97 D129">
    <cfRule type="cellIs" dxfId="1" priority="8" operator="lessThanOrEqual">
      <formula>"0%"</formula>
    </cfRule>
  </conditionalFormatting>
  <conditionalFormatting sqref="D88:D89 D92 D95">
    <cfRule type="cellIs" dxfId="1" priority="9" operator="greaterThanOrEqual">
      <formula>"0%"</formula>
    </cfRule>
  </conditionalFormatting>
  <conditionalFormatting sqref="D88:D89 D92 D95">
    <cfRule type="cellIs" dxfId="0" priority="10" operator="lessThanOrEqual">
      <formula>"-1%"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6.75"/>
    <col customWidth="1" min="3" max="3" width="29.5"/>
    <col customWidth="1" min="4" max="4" width="22.88"/>
    <col customWidth="1" min="5" max="5" width="21.63"/>
    <col customWidth="1" min="6" max="6" width="20.25"/>
    <col customWidth="1" min="7" max="7" width="1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4"/>
      <c r="H2" s="5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7"/>
      <c r="D3" s="7"/>
      <c r="E3" s="7"/>
      <c r="F3" s="7"/>
      <c r="G3" s="8"/>
      <c r="H3" s="5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</v>
      </c>
      <c r="B4" s="9" t="s">
        <v>533</v>
      </c>
      <c r="C4" s="9" t="s">
        <v>534</v>
      </c>
      <c r="D4" s="10" t="s">
        <v>513</v>
      </c>
      <c r="E4" s="10" t="s">
        <v>514</v>
      </c>
      <c r="F4" s="10" t="s">
        <v>515</v>
      </c>
      <c r="G4" s="10" t="s">
        <v>516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8</v>
      </c>
      <c r="B5" s="221">
        <v>4000000.0</v>
      </c>
      <c r="C5" s="222">
        <v>3879279.0</v>
      </c>
      <c r="D5" s="11">
        <v>4240000.0</v>
      </c>
      <c r="E5" s="12">
        <v>4757492.0</v>
      </c>
      <c r="F5" s="15">
        <f t="shared" ref="F5:F6" si="1">E5/D5</f>
        <v>1.12205</v>
      </c>
      <c r="G5" s="16">
        <f t="shared" ref="G5:G6" si="2">C5/B5</f>
        <v>0.96981975</v>
      </c>
      <c r="H5" s="5"/>
      <c r="I5" s="17"/>
      <c r="J5" s="18"/>
      <c r="K5" s="19"/>
      <c r="L5" s="1"/>
      <c r="M5" s="17"/>
      <c r="N5" s="18"/>
      <c r="O5" s="1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221">
        <v>7780000.0</v>
      </c>
      <c r="C6" s="222">
        <v>7242405.0</v>
      </c>
      <c r="D6" s="11">
        <v>8400000.0</v>
      </c>
      <c r="E6" s="12">
        <v>8577656.0</v>
      </c>
      <c r="F6" s="15">
        <f t="shared" si="1"/>
        <v>1.021149524</v>
      </c>
      <c r="G6" s="16">
        <f t="shared" si="2"/>
        <v>0.9309003856</v>
      </c>
      <c r="H6" s="5"/>
      <c r="I6" s="17"/>
      <c r="J6" s="18"/>
      <c r="K6" s="19"/>
      <c r="L6" s="1"/>
      <c r="M6" s="17"/>
      <c r="N6" s="18"/>
      <c r="O6" s="1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5"/>
      <c r="C7" s="5"/>
      <c r="D7" s="5"/>
      <c r="E7" s="5"/>
      <c r="F7" s="5"/>
      <c r="G7" s="5"/>
      <c r="H7" s="5"/>
      <c r="I7" s="17"/>
      <c r="J7" s="18"/>
      <c r="K7" s="19"/>
      <c r="L7" s="1"/>
      <c r="M7" s="17"/>
      <c r="N7" s="18"/>
      <c r="O7" s="1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/>
      <c r="C8" s="3"/>
      <c r="D8" s="3"/>
      <c r="E8" s="3"/>
      <c r="F8" s="3"/>
      <c r="G8" s="4"/>
      <c r="H8" s="5"/>
      <c r="I8" s="17"/>
      <c r="J8" s="18"/>
      <c r="K8" s="19"/>
      <c r="L8" s="1"/>
      <c r="M8" s="17"/>
      <c r="N8" s="18"/>
      <c r="O8" s="1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7"/>
      <c r="E9" s="7"/>
      <c r="F9" s="7"/>
      <c r="G9" s="8"/>
      <c r="H9" s="5"/>
      <c r="I9" s="17"/>
      <c r="J9" s="18"/>
      <c r="K9" s="19"/>
      <c r="L9" s="1"/>
      <c r="M9" s="17"/>
      <c r="N9" s="18"/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 t="s">
        <v>1</v>
      </c>
      <c r="B10" s="9" t="s">
        <v>533</v>
      </c>
      <c r="C10" s="9" t="s">
        <v>534</v>
      </c>
      <c r="D10" s="10" t="s">
        <v>513</v>
      </c>
      <c r="E10" s="10" t="s">
        <v>514</v>
      </c>
      <c r="F10" s="10" t="s">
        <v>517</v>
      </c>
      <c r="G10" s="9" t="s">
        <v>516</v>
      </c>
      <c r="H10" s="5"/>
      <c r="I10" s="17"/>
      <c r="K10" s="21"/>
      <c r="L10" s="1"/>
      <c r="M10" s="17"/>
      <c r="N10" s="18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8</v>
      </c>
      <c r="B11" s="20">
        <v>320.0</v>
      </c>
      <c r="C11" s="20">
        <v>229.0</v>
      </c>
      <c r="D11" s="22">
        <v>310.0</v>
      </c>
      <c r="E11" s="22">
        <v>278.0</v>
      </c>
      <c r="F11" s="23">
        <f t="shared" ref="F11:F12" si="3">E11/D11</f>
        <v>0.8967741935</v>
      </c>
      <c r="G11" s="23">
        <f t="shared" ref="G11:G12" si="4">C11/B11</f>
        <v>0.715625</v>
      </c>
      <c r="H11" s="5"/>
      <c r="I11" s="17"/>
      <c r="K11" s="21"/>
      <c r="L11" s="1"/>
      <c r="M11" s="17"/>
      <c r="N11" s="18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9</v>
      </c>
      <c r="B12" s="20">
        <v>680.0</v>
      </c>
      <c r="C12" s="20">
        <v>571.0</v>
      </c>
      <c r="D12" s="22">
        <v>650.0</v>
      </c>
      <c r="E12" s="22">
        <v>744.0</v>
      </c>
      <c r="F12" s="155">
        <f t="shared" si="3"/>
        <v>1.144615385</v>
      </c>
      <c r="G12" s="155">
        <f t="shared" si="4"/>
        <v>0.8397058824</v>
      </c>
      <c r="H12" s="5"/>
      <c r="I12" s="17"/>
      <c r="K12" s="21"/>
      <c r="L12" s="1"/>
      <c r="M12" s="17"/>
      <c r="N12" s="18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5"/>
      <c r="I13" s="17"/>
      <c r="J13" s="18"/>
      <c r="K13" s="21"/>
      <c r="L13" s="1"/>
      <c r="M13" s="17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/>
      <c r="B14" s="26" t="s">
        <v>12</v>
      </c>
      <c r="C14" s="27"/>
      <c r="D14" s="28"/>
      <c r="E14" s="26" t="s">
        <v>13</v>
      </c>
      <c r="F14" s="28"/>
      <c r="G14" s="26" t="s">
        <v>14</v>
      </c>
      <c r="H14" s="28"/>
      <c r="I14" s="209"/>
      <c r="J14" s="29"/>
      <c r="K14" s="5"/>
      <c r="L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1"/>
      <c r="B15" s="32" t="s">
        <v>15</v>
      </c>
      <c r="C15" s="32" t="s">
        <v>16</v>
      </c>
      <c r="D15" s="32" t="s">
        <v>17</v>
      </c>
      <c r="E15" s="32" t="s">
        <v>15</v>
      </c>
      <c r="F15" s="32" t="s">
        <v>16</v>
      </c>
      <c r="G15" s="32" t="s">
        <v>15</v>
      </c>
      <c r="H15" s="32" t="s">
        <v>16</v>
      </c>
      <c r="I15" s="210"/>
      <c r="J15" s="34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4">
        <v>1.0</v>
      </c>
      <c r="B16" s="45">
        <v>221167.0</v>
      </c>
      <c r="C16" s="45">
        <v>327845.0</v>
      </c>
      <c r="D16" s="45">
        <f t="shared" ref="D16:D19" si="6">SUM(B16:C16)</f>
        <v>549012</v>
      </c>
      <c r="E16" s="46">
        <v>162.0</v>
      </c>
      <c r="F16" s="46">
        <v>244.0</v>
      </c>
      <c r="G16" s="45">
        <f t="shared" ref="G16:H16" si="5">B16/E16</f>
        <v>1365.228395</v>
      </c>
      <c r="H16" s="45">
        <f t="shared" si="5"/>
        <v>1343.627049</v>
      </c>
      <c r="I16" s="210"/>
      <c r="J16" s="34"/>
      <c r="K16" s="1"/>
      <c r="L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4">
        <v>2.0</v>
      </c>
      <c r="B17" s="45">
        <v>137399.0</v>
      </c>
      <c r="C17" s="45">
        <v>265584.0</v>
      </c>
      <c r="D17" s="45">
        <f t="shared" si="6"/>
        <v>402983</v>
      </c>
      <c r="E17" s="46">
        <v>105.0</v>
      </c>
      <c r="F17" s="46">
        <v>200.0</v>
      </c>
      <c r="G17" s="45">
        <f t="shared" ref="G17:H17" si="7">B17/E17</f>
        <v>1308.561905</v>
      </c>
      <c r="H17" s="45">
        <f t="shared" si="7"/>
        <v>1327.92</v>
      </c>
      <c r="I17" s="210"/>
      <c r="J17" s="34"/>
      <c r="K17" s="1"/>
      <c r="L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4">
        <v>3.0</v>
      </c>
      <c r="B18" s="45">
        <v>158670.0</v>
      </c>
      <c r="C18" s="45">
        <v>243275.0</v>
      </c>
      <c r="D18" s="45">
        <f t="shared" si="6"/>
        <v>401945</v>
      </c>
      <c r="E18" s="46">
        <v>130.0</v>
      </c>
      <c r="F18" s="46">
        <v>220.0</v>
      </c>
      <c r="G18" s="45">
        <f t="shared" ref="G18:H18" si="8">B18/E18</f>
        <v>1220.538462</v>
      </c>
      <c r="H18" s="45">
        <f t="shared" si="8"/>
        <v>1105.795455</v>
      </c>
      <c r="I18" s="210"/>
      <c r="J18" s="34"/>
      <c r="K18" s="1"/>
      <c r="L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4">
        <v>4.0</v>
      </c>
      <c r="B19" s="45">
        <v>176351.0</v>
      </c>
      <c r="C19" s="45">
        <v>227352.0</v>
      </c>
      <c r="D19" s="45">
        <f t="shared" si="6"/>
        <v>403703</v>
      </c>
      <c r="E19" s="46">
        <v>129.0</v>
      </c>
      <c r="F19" s="46">
        <v>202.0</v>
      </c>
      <c r="G19" s="45">
        <f t="shared" ref="G19:H19" si="9">B19/E19</f>
        <v>1367.062016</v>
      </c>
      <c r="H19" s="45">
        <f t="shared" si="9"/>
        <v>1125.50495</v>
      </c>
      <c r="I19" s="210"/>
      <c r="J19" s="34"/>
      <c r="K19" s="1"/>
      <c r="L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5" t="s">
        <v>29</v>
      </c>
      <c r="B20" s="50">
        <f t="shared" ref="B20:F20" si="10">SUM(B16:B19)</f>
        <v>693587</v>
      </c>
      <c r="C20" s="50">
        <f t="shared" si="10"/>
        <v>1064056</v>
      </c>
      <c r="D20" s="50">
        <f t="shared" si="10"/>
        <v>1757643</v>
      </c>
      <c r="E20" s="57">
        <f t="shared" si="10"/>
        <v>526</v>
      </c>
      <c r="F20" s="57">
        <f t="shared" si="10"/>
        <v>866</v>
      </c>
      <c r="G20" s="50">
        <f t="shared" ref="G20:H20" si="11">B20/E20</f>
        <v>1318.606464</v>
      </c>
      <c r="H20" s="50">
        <f t="shared" si="11"/>
        <v>1228.702079</v>
      </c>
      <c r="I20" s="210"/>
      <c r="J20" s="34"/>
      <c r="K20" s="1"/>
      <c r="L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2">
        <v>5.0</v>
      </c>
      <c r="B21" s="36">
        <v>126860.0</v>
      </c>
      <c r="C21" s="36">
        <v>181846.0</v>
      </c>
      <c r="D21" s="36">
        <f t="shared" ref="D21:D27" si="13">SUM(B21:C21)</f>
        <v>308706</v>
      </c>
      <c r="E21" s="37">
        <v>99.0</v>
      </c>
      <c r="F21" s="37">
        <v>162.0</v>
      </c>
      <c r="G21" s="36">
        <f t="shared" ref="G21:H21" si="12">B21/E21</f>
        <v>1281.414141</v>
      </c>
      <c r="H21" s="36">
        <f t="shared" si="12"/>
        <v>1122.506173</v>
      </c>
      <c r="I21" s="210"/>
      <c r="J21" s="34"/>
      <c r="K21" s="1"/>
      <c r="L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2">
        <v>6.0</v>
      </c>
      <c r="B22" s="36">
        <v>82508.0</v>
      </c>
      <c r="C22" s="36">
        <v>203538.0</v>
      </c>
      <c r="D22" s="36">
        <f t="shared" si="13"/>
        <v>286046</v>
      </c>
      <c r="E22" s="37">
        <v>71.0</v>
      </c>
      <c r="F22" s="37">
        <v>181.0</v>
      </c>
      <c r="G22" s="36">
        <f t="shared" ref="G22:H22" si="14">B22/E22</f>
        <v>1162.084507</v>
      </c>
      <c r="H22" s="36">
        <f t="shared" si="14"/>
        <v>1124.519337</v>
      </c>
      <c r="I22" s="75"/>
      <c r="J22" s="43" t="s">
        <v>15</v>
      </c>
      <c r="K22" s="32" t="s">
        <v>16</v>
      </c>
      <c r="L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2">
        <v>7.0</v>
      </c>
      <c r="B23" s="36">
        <v>187659.0</v>
      </c>
      <c r="C23" s="36">
        <v>395964.0</v>
      </c>
      <c r="D23" s="36">
        <f t="shared" si="13"/>
        <v>583623</v>
      </c>
      <c r="E23" s="37">
        <v>130.0</v>
      </c>
      <c r="F23" s="37">
        <v>361.0</v>
      </c>
      <c r="G23" s="36">
        <f t="shared" ref="G23:H23" si="15">B23/E23</f>
        <v>1443.530769</v>
      </c>
      <c r="H23" s="36">
        <f t="shared" si="15"/>
        <v>1096.853186</v>
      </c>
      <c r="I23" s="33" t="s">
        <v>21</v>
      </c>
      <c r="J23" s="36">
        <f t="shared" ref="J23:K23" si="16">SUM(B21:B24)</f>
        <v>575835</v>
      </c>
      <c r="K23" s="36">
        <f t="shared" si="16"/>
        <v>1137336</v>
      </c>
      <c r="L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>
        <v>8.0</v>
      </c>
      <c r="B24" s="36">
        <v>178808.0</v>
      </c>
      <c r="C24" s="36">
        <v>355988.0</v>
      </c>
      <c r="D24" s="36">
        <f t="shared" si="13"/>
        <v>534796</v>
      </c>
      <c r="E24" s="37">
        <v>135.0</v>
      </c>
      <c r="F24" s="37">
        <v>289.0</v>
      </c>
      <c r="G24" s="36">
        <f t="shared" ref="G24:H24" si="17">B24/E24</f>
        <v>1324.503704</v>
      </c>
      <c r="H24" s="36">
        <f t="shared" si="17"/>
        <v>1231.792388</v>
      </c>
      <c r="I24" s="33" t="s">
        <v>23</v>
      </c>
      <c r="J24" s="36">
        <f t="shared" ref="J24:K24" si="18">SUM(B25:B27)</f>
        <v>513010</v>
      </c>
      <c r="K24" s="36">
        <f t="shared" si="18"/>
        <v>940310</v>
      </c>
      <c r="L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4">
        <v>9.0</v>
      </c>
      <c r="B25" s="45">
        <v>205252.0</v>
      </c>
      <c r="C25" s="45">
        <v>418464.0</v>
      </c>
      <c r="D25" s="45">
        <f t="shared" si="13"/>
        <v>623716</v>
      </c>
      <c r="E25" s="46">
        <v>144.0</v>
      </c>
      <c r="F25" s="46">
        <v>325.0</v>
      </c>
      <c r="G25" s="45">
        <f t="shared" ref="G25:H25" si="19">B25/E25</f>
        <v>1425.361111</v>
      </c>
      <c r="H25" s="45">
        <f t="shared" si="19"/>
        <v>1287.581538</v>
      </c>
      <c r="I25" s="33" t="s">
        <v>17</v>
      </c>
      <c r="J25" s="36">
        <f t="shared" ref="J25:K25" si="20">SUM(J23:J24)</f>
        <v>1088845</v>
      </c>
      <c r="K25" s="36">
        <f t="shared" si="20"/>
        <v>2077646</v>
      </c>
      <c r="L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4">
        <v>10.0</v>
      </c>
      <c r="B26" s="45">
        <v>164763.0</v>
      </c>
      <c r="C26" s="45">
        <v>294997.0</v>
      </c>
      <c r="D26" s="45">
        <f t="shared" si="13"/>
        <v>459760</v>
      </c>
      <c r="E26" s="46">
        <v>125.0</v>
      </c>
      <c r="F26" s="46">
        <v>237.0</v>
      </c>
      <c r="G26" s="45">
        <f t="shared" ref="G26:H26" si="21">B26/E26</f>
        <v>1318.104</v>
      </c>
      <c r="H26" s="45">
        <f t="shared" si="21"/>
        <v>1244.71308</v>
      </c>
      <c r="I26" s="33" t="s">
        <v>26</v>
      </c>
      <c r="J26" s="48">
        <f t="shared" ref="J26:K26" si="22">J23/J24</f>
        <v>1.1224635</v>
      </c>
      <c r="K26" s="48">
        <f t="shared" si="22"/>
        <v>1.209533026</v>
      </c>
      <c r="L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4">
        <v>11.0</v>
      </c>
      <c r="B27" s="45">
        <v>142995.0</v>
      </c>
      <c r="C27" s="45">
        <v>226849.0</v>
      </c>
      <c r="D27" s="45">
        <f t="shared" si="13"/>
        <v>369844</v>
      </c>
      <c r="E27" s="46">
        <v>113.0</v>
      </c>
      <c r="F27" s="46">
        <v>192.0</v>
      </c>
      <c r="G27" s="45">
        <f t="shared" ref="G27:H27" si="23">B27/E27</f>
        <v>1265.442478</v>
      </c>
      <c r="H27" s="45">
        <f t="shared" si="23"/>
        <v>1181.505208</v>
      </c>
      <c r="I27" s="33" t="s">
        <v>28</v>
      </c>
      <c r="J27" s="48">
        <f t="shared" ref="J27:K27" si="24">1-J23/J24</f>
        <v>-0.1224634997</v>
      </c>
      <c r="K27" s="48">
        <f t="shared" si="24"/>
        <v>-0.2095330263</v>
      </c>
      <c r="L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75" t="s">
        <v>29</v>
      </c>
      <c r="B28" s="50">
        <f t="shared" ref="B28:F28" si="25">SUM(B21:B27)</f>
        <v>1088845</v>
      </c>
      <c r="C28" s="50">
        <f t="shared" si="25"/>
        <v>2077646</v>
      </c>
      <c r="D28" s="50">
        <f t="shared" si="25"/>
        <v>3166491</v>
      </c>
      <c r="E28" s="57">
        <f t="shared" si="25"/>
        <v>817</v>
      </c>
      <c r="F28" s="57">
        <f t="shared" si="25"/>
        <v>1747</v>
      </c>
      <c r="G28" s="50">
        <f t="shared" ref="G28:H28" si="26">B28/E28</f>
        <v>1332.735618</v>
      </c>
      <c r="H28" s="50">
        <f t="shared" si="26"/>
        <v>1189.265026</v>
      </c>
      <c r="I28" s="210"/>
      <c r="J28" s="34"/>
      <c r="K28" s="1"/>
      <c r="L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2">
        <v>12.0</v>
      </c>
      <c r="B29" s="36">
        <v>137126.0</v>
      </c>
      <c r="C29" s="36">
        <v>203753.0</v>
      </c>
      <c r="D29" s="36">
        <f t="shared" ref="D29:D35" si="28">SUM(B29:C29)</f>
        <v>340879</v>
      </c>
      <c r="E29" s="37">
        <v>99.0</v>
      </c>
      <c r="F29" s="37">
        <v>185.0</v>
      </c>
      <c r="G29" s="36">
        <f t="shared" ref="G29:H29" si="27">B29/E29</f>
        <v>1385.111111</v>
      </c>
      <c r="H29" s="36">
        <f t="shared" si="27"/>
        <v>1101.367568</v>
      </c>
      <c r="I29" s="210"/>
      <c r="J29" s="34"/>
      <c r="K29" s="1"/>
      <c r="L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2">
        <v>13.0</v>
      </c>
      <c r="B30" s="36">
        <v>87246.0</v>
      </c>
      <c r="C30" s="36">
        <v>187320.0</v>
      </c>
      <c r="D30" s="38">
        <f t="shared" si="28"/>
        <v>274566</v>
      </c>
      <c r="E30" s="37">
        <v>72.0</v>
      </c>
      <c r="F30" s="37">
        <v>171.0</v>
      </c>
      <c r="G30" s="36">
        <f t="shared" ref="G30:H30" si="29">B30/E30</f>
        <v>1211.75</v>
      </c>
      <c r="H30" s="36">
        <f t="shared" si="29"/>
        <v>1095.438596</v>
      </c>
      <c r="I30" s="75"/>
      <c r="J30" s="43" t="s">
        <v>15</v>
      </c>
      <c r="K30" s="32" t="s">
        <v>16</v>
      </c>
      <c r="L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2">
        <v>14.0</v>
      </c>
      <c r="B31" s="36">
        <v>99244.0</v>
      </c>
      <c r="C31" s="36">
        <v>199089.0</v>
      </c>
      <c r="D31" s="38">
        <f t="shared" si="28"/>
        <v>298333</v>
      </c>
      <c r="E31" s="37">
        <v>77.0</v>
      </c>
      <c r="F31" s="37">
        <v>177.0</v>
      </c>
      <c r="G31" s="36">
        <f t="shared" ref="G31:H31" si="30">B31/E31</f>
        <v>1288.883117</v>
      </c>
      <c r="H31" s="36">
        <f t="shared" si="30"/>
        <v>1124.79661</v>
      </c>
      <c r="I31" s="33" t="s">
        <v>21</v>
      </c>
      <c r="J31" s="36">
        <f t="shared" ref="J31:K31" si="31">SUM(B29:B32)</f>
        <v>441319</v>
      </c>
      <c r="K31" s="36">
        <f t="shared" si="31"/>
        <v>814507</v>
      </c>
      <c r="L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2">
        <v>15.0</v>
      </c>
      <c r="B32" s="36">
        <v>117703.0</v>
      </c>
      <c r="C32" s="36">
        <v>224345.0</v>
      </c>
      <c r="D32" s="38">
        <f t="shared" si="28"/>
        <v>342048</v>
      </c>
      <c r="E32" s="37">
        <v>77.0</v>
      </c>
      <c r="F32" s="37">
        <v>204.0</v>
      </c>
      <c r="G32" s="36">
        <f t="shared" ref="G32:H32" si="32">B32/E32</f>
        <v>1528.61039</v>
      </c>
      <c r="H32" s="36">
        <f t="shared" si="32"/>
        <v>1099.730392</v>
      </c>
      <c r="I32" s="33" t="s">
        <v>23</v>
      </c>
      <c r="J32" s="36">
        <f t="shared" ref="J32:K32" si="33">SUM(B33:B35)</f>
        <v>547455</v>
      </c>
      <c r="K32" s="36">
        <f t="shared" si="33"/>
        <v>1024605</v>
      </c>
      <c r="L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4">
        <v>16.0</v>
      </c>
      <c r="B33" s="45">
        <v>183445.0</v>
      </c>
      <c r="C33" s="45">
        <v>352312.0</v>
      </c>
      <c r="D33" s="45">
        <f t="shared" si="28"/>
        <v>535757</v>
      </c>
      <c r="E33" s="46">
        <v>135.0</v>
      </c>
      <c r="F33" s="46">
        <v>295.0</v>
      </c>
      <c r="G33" s="45">
        <f t="shared" ref="G33:H33" si="34">B33/E33</f>
        <v>1358.851852</v>
      </c>
      <c r="H33" s="45">
        <f t="shared" si="34"/>
        <v>1194.277966</v>
      </c>
      <c r="I33" s="33" t="s">
        <v>17</v>
      </c>
      <c r="J33" s="36">
        <f t="shared" ref="J33:K33" si="35">SUM(J31:J32)</f>
        <v>988774</v>
      </c>
      <c r="K33" s="36">
        <f t="shared" si="35"/>
        <v>1839112</v>
      </c>
      <c r="L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4">
        <v>17.0</v>
      </c>
      <c r="B34" s="45">
        <v>166281.0</v>
      </c>
      <c r="C34" s="45">
        <v>348932.0</v>
      </c>
      <c r="D34" s="45">
        <f t="shared" si="28"/>
        <v>515213</v>
      </c>
      <c r="E34" s="46">
        <v>138.0</v>
      </c>
      <c r="F34" s="46">
        <v>288.0</v>
      </c>
      <c r="G34" s="45">
        <f t="shared" ref="G34:H34" si="36">B34/E34</f>
        <v>1204.934783</v>
      </c>
      <c r="H34" s="45">
        <f t="shared" si="36"/>
        <v>1211.569444</v>
      </c>
      <c r="I34" s="33" t="s">
        <v>26</v>
      </c>
      <c r="J34" s="48">
        <f t="shared" ref="J34:K34" si="37">J31/J32</f>
        <v>0.8061283576</v>
      </c>
      <c r="K34" s="48">
        <f t="shared" si="37"/>
        <v>0.7949473212</v>
      </c>
      <c r="L34" s="212">
        <f>100-81.82</f>
        <v>18.18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4">
        <v>18.0</v>
      </c>
      <c r="B35" s="45">
        <v>197729.0</v>
      </c>
      <c r="C35" s="45">
        <v>323361.0</v>
      </c>
      <c r="D35" s="45">
        <f t="shared" si="28"/>
        <v>521090</v>
      </c>
      <c r="E35" s="46">
        <v>154.0</v>
      </c>
      <c r="F35" s="46">
        <v>291.0</v>
      </c>
      <c r="G35" s="45">
        <f t="shared" ref="G35:H35" si="38">B35/E35</f>
        <v>1283.954545</v>
      </c>
      <c r="H35" s="45">
        <f t="shared" si="38"/>
        <v>1111.206186</v>
      </c>
      <c r="I35" s="32" t="s">
        <v>28</v>
      </c>
      <c r="J35" s="48">
        <f t="shared" ref="J35:K35" si="39">1-J31/J32</f>
        <v>0.1938716424</v>
      </c>
      <c r="K35" s="48">
        <f t="shared" si="39"/>
        <v>0.2050526788</v>
      </c>
      <c r="L35" s="212">
        <f>100-79.41</f>
        <v>20.59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5" t="s">
        <v>29</v>
      </c>
      <c r="B36" s="50">
        <f t="shared" ref="B36:F36" si="40">SUM(B29:B35)</f>
        <v>988774</v>
      </c>
      <c r="C36" s="50">
        <f t="shared" si="40"/>
        <v>1839112</v>
      </c>
      <c r="D36" s="50">
        <f t="shared" si="40"/>
        <v>2827886</v>
      </c>
      <c r="E36" s="57">
        <f t="shared" si="40"/>
        <v>752</v>
      </c>
      <c r="F36" s="57">
        <f t="shared" si="40"/>
        <v>1611</v>
      </c>
      <c r="G36" s="50">
        <f t="shared" ref="G36:H36" si="41">B36/E36</f>
        <v>1314.859043</v>
      </c>
      <c r="H36" s="50">
        <f t="shared" si="41"/>
        <v>1141.596524</v>
      </c>
      <c r="I36" s="1"/>
      <c r="J36" s="1"/>
      <c r="K36" s="1"/>
      <c r="L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2">
        <v>19.0</v>
      </c>
      <c r="B37" s="36">
        <v>97857.0</v>
      </c>
      <c r="C37" s="36">
        <v>183565.0</v>
      </c>
      <c r="D37" s="36">
        <f t="shared" ref="D37:D43" si="43">SUM(B37:C37)</f>
        <v>281422</v>
      </c>
      <c r="E37" s="37">
        <v>71.0</v>
      </c>
      <c r="F37" s="37">
        <v>150.0</v>
      </c>
      <c r="G37" s="36">
        <f t="shared" ref="G37:H37" si="42">B37/E37</f>
        <v>1378.267606</v>
      </c>
      <c r="H37" s="36">
        <f t="shared" si="42"/>
        <v>1223.766667</v>
      </c>
      <c r="I37" s="1"/>
      <c r="J37" s="1"/>
      <c r="K37" s="1"/>
      <c r="L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2">
        <v>20.0</v>
      </c>
      <c r="B38" s="36">
        <v>105126.0</v>
      </c>
      <c r="C38" s="36">
        <v>234960.0</v>
      </c>
      <c r="D38" s="38">
        <f t="shared" si="43"/>
        <v>340086</v>
      </c>
      <c r="E38" s="37">
        <v>94.0</v>
      </c>
      <c r="F38" s="37">
        <v>217.0</v>
      </c>
      <c r="G38" s="36">
        <f t="shared" ref="G38:H38" si="44">B38/E38</f>
        <v>1118.361702</v>
      </c>
      <c r="H38" s="36">
        <f t="shared" si="44"/>
        <v>1082.764977</v>
      </c>
      <c r="I38" s="31"/>
      <c r="J38" s="32" t="s">
        <v>15</v>
      </c>
      <c r="K38" s="32" t="s">
        <v>16</v>
      </c>
      <c r="L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2">
        <v>21.0</v>
      </c>
      <c r="B39" s="36">
        <v>118230.0</v>
      </c>
      <c r="C39" s="36">
        <v>293753.0</v>
      </c>
      <c r="D39" s="38">
        <f t="shared" si="43"/>
        <v>411983</v>
      </c>
      <c r="E39" s="37">
        <v>90.0</v>
      </c>
      <c r="F39" s="37">
        <v>281.0</v>
      </c>
      <c r="G39" s="36">
        <f t="shared" ref="G39:H39" si="45">B39/E39</f>
        <v>1313.666667</v>
      </c>
      <c r="H39" s="36">
        <f t="shared" si="45"/>
        <v>1045.384342</v>
      </c>
      <c r="I39" s="32" t="s">
        <v>21</v>
      </c>
      <c r="J39" s="36">
        <f t="shared" ref="J39:K39" si="46">SUM(B37:B40)</f>
        <v>454459</v>
      </c>
      <c r="K39" s="36">
        <f t="shared" si="46"/>
        <v>976279</v>
      </c>
      <c r="L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2">
        <v>22.0</v>
      </c>
      <c r="B40" s="36">
        <v>133246.0</v>
      </c>
      <c r="C40" s="36">
        <v>264001.0</v>
      </c>
      <c r="D40" s="38">
        <f t="shared" si="43"/>
        <v>397247</v>
      </c>
      <c r="E40" s="37">
        <v>100.0</v>
      </c>
      <c r="F40" s="37">
        <v>233.0</v>
      </c>
      <c r="G40" s="36">
        <f t="shared" ref="G40:H40" si="47">B40/E40</f>
        <v>1332.46</v>
      </c>
      <c r="H40" s="36">
        <f t="shared" si="47"/>
        <v>1133.051502</v>
      </c>
      <c r="I40" s="32" t="s">
        <v>23</v>
      </c>
      <c r="J40" s="36">
        <f t="shared" ref="J40:K40" si="48">SUM(B41:B43)</f>
        <v>709077</v>
      </c>
      <c r="K40" s="36">
        <f t="shared" si="48"/>
        <v>1047421</v>
      </c>
      <c r="L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4">
        <v>23.0</v>
      </c>
      <c r="B41" s="45">
        <v>268449.0</v>
      </c>
      <c r="C41" s="45">
        <v>408051.0</v>
      </c>
      <c r="D41" s="47">
        <f t="shared" si="43"/>
        <v>676500</v>
      </c>
      <c r="E41" s="46">
        <v>215.0</v>
      </c>
      <c r="F41" s="46">
        <v>349.0</v>
      </c>
      <c r="G41" s="45">
        <f t="shared" ref="G41:H41" si="49">B41/E41</f>
        <v>1248.6</v>
      </c>
      <c r="H41" s="45">
        <f t="shared" si="49"/>
        <v>1169.200573</v>
      </c>
      <c r="I41" s="32" t="s">
        <v>17</v>
      </c>
      <c r="J41" s="36">
        <f t="shared" ref="J41:K41" si="50">SUM(J39:J40)</f>
        <v>1163536</v>
      </c>
      <c r="K41" s="36">
        <f t="shared" si="50"/>
        <v>2023700</v>
      </c>
      <c r="L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4">
        <v>24.0</v>
      </c>
      <c r="B42" s="45">
        <v>245064.0</v>
      </c>
      <c r="C42" s="45">
        <v>356017.0</v>
      </c>
      <c r="D42" s="47">
        <f t="shared" si="43"/>
        <v>601081</v>
      </c>
      <c r="E42" s="46">
        <v>173.0</v>
      </c>
      <c r="F42" s="46">
        <v>257.0</v>
      </c>
      <c r="G42" s="45">
        <f t="shared" ref="G42:H42" si="51">B42/E42</f>
        <v>1416.554913</v>
      </c>
      <c r="H42" s="45">
        <f t="shared" si="51"/>
        <v>1385.280156</v>
      </c>
      <c r="I42" s="32" t="s">
        <v>26</v>
      </c>
      <c r="J42" s="48">
        <f t="shared" ref="J42:K42" si="52">J39/J40</f>
        <v>0.6409162898</v>
      </c>
      <c r="K42" s="48">
        <f t="shared" si="52"/>
        <v>0.9320788871</v>
      </c>
      <c r="L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4">
        <v>25.0</v>
      </c>
      <c r="B43" s="45">
        <v>195564.0</v>
      </c>
      <c r="C43" s="45">
        <v>283353.0</v>
      </c>
      <c r="D43" s="47">
        <f t="shared" si="43"/>
        <v>478917</v>
      </c>
      <c r="E43" s="46">
        <v>117.0</v>
      </c>
      <c r="F43" s="46">
        <v>231.0</v>
      </c>
      <c r="G43" s="45">
        <f t="shared" ref="G43:H43" si="53">B43/E43</f>
        <v>1671.487179</v>
      </c>
      <c r="H43" s="45">
        <f t="shared" si="53"/>
        <v>1226.636364</v>
      </c>
      <c r="I43" s="32" t="s">
        <v>28</v>
      </c>
      <c r="J43" s="48">
        <f t="shared" ref="J43:K43" si="54">1-J39/J40</f>
        <v>0.3590837102</v>
      </c>
      <c r="K43" s="48">
        <f t="shared" si="54"/>
        <v>0.0679211129</v>
      </c>
      <c r="L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75" t="s">
        <v>29</v>
      </c>
      <c r="B44" s="50">
        <f t="shared" ref="B44:F44" si="55">SUM(B37:B43)</f>
        <v>1163536</v>
      </c>
      <c r="C44" s="50">
        <f t="shared" si="55"/>
        <v>2023700</v>
      </c>
      <c r="D44" s="50">
        <f t="shared" si="55"/>
        <v>3187236</v>
      </c>
      <c r="E44" s="57">
        <f t="shared" si="55"/>
        <v>860</v>
      </c>
      <c r="F44" s="57">
        <f t="shared" si="55"/>
        <v>1718</v>
      </c>
      <c r="G44" s="50">
        <f t="shared" ref="G44:H44" si="56">B44/E44</f>
        <v>1352.948837</v>
      </c>
      <c r="H44" s="50">
        <f t="shared" si="56"/>
        <v>1177.939464</v>
      </c>
      <c r="I44" s="1"/>
      <c r="J44" s="1"/>
      <c r="K44" s="1"/>
      <c r="L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2">
        <v>26.0</v>
      </c>
      <c r="B45" s="36">
        <v>162704.0</v>
      </c>
      <c r="C45" s="36">
        <v>205334.0</v>
      </c>
      <c r="D45" s="36">
        <f t="shared" ref="D45:D50" si="58">SUM(B45:C45)</f>
        <v>368038</v>
      </c>
      <c r="E45" s="37">
        <v>105.0</v>
      </c>
      <c r="F45" s="37">
        <v>176.0</v>
      </c>
      <c r="G45" s="36">
        <f t="shared" ref="G45:H45" si="57">B45/E45</f>
        <v>1549.561905</v>
      </c>
      <c r="H45" s="36">
        <f t="shared" si="57"/>
        <v>1166.670455</v>
      </c>
      <c r="I45" s="1"/>
      <c r="J45" s="1"/>
      <c r="K45" s="1"/>
      <c r="L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2">
        <v>27.0</v>
      </c>
      <c r="B46" s="36">
        <v>108957.0</v>
      </c>
      <c r="C46" s="36">
        <v>218681.0</v>
      </c>
      <c r="D46" s="36">
        <f t="shared" si="58"/>
        <v>327638</v>
      </c>
      <c r="E46" s="37">
        <v>88.0</v>
      </c>
      <c r="F46" s="37">
        <v>194.0</v>
      </c>
      <c r="G46" s="36">
        <f t="shared" ref="G46:H46" si="59">B46/E46</f>
        <v>1238.147727</v>
      </c>
      <c r="H46" s="36">
        <f t="shared" si="59"/>
        <v>1127.221649</v>
      </c>
      <c r="I46" s="31"/>
      <c r="J46" s="32" t="s">
        <v>15</v>
      </c>
      <c r="K46" s="32" t="s">
        <v>16</v>
      </c>
      <c r="L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2">
        <v>28.0</v>
      </c>
      <c r="B47" s="36">
        <v>96853.0</v>
      </c>
      <c r="C47" s="36">
        <v>220166.0</v>
      </c>
      <c r="D47" s="36">
        <f t="shared" si="58"/>
        <v>317019</v>
      </c>
      <c r="E47" s="37">
        <v>76.0</v>
      </c>
      <c r="F47" s="37">
        <v>230.0</v>
      </c>
      <c r="G47" s="36">
        <f t="shared" ref="G47:H47" si="60">B47/E47</f>
        <v>1274.381579</v>
      </c>
      <c r="H47" s="36">
        <f t="shared" si="60"/>
        <v>957.2434783</v>
      </c>
      <c r="I47" s="32" t="s">
        <v>21</v>
      </c>
      <c r="J47" s="36">
        <f t="shared" ref="J47:K47" si="61">SUM(B45:B48)</f>
        <v>466969</v>
      </c>
      <c r="K47" s="36">
        <f t="shared" si="61"/>
        <v>904217</v>
      </c>
      <c r="L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2">
        <v>29.0</v>
      </c>
      <c r="B48" s="36">
        <v>98455.0</v>
      </c>
      <c r="C48" s="36">
        <v>260036.0</v>
      </c>
      <c r="D48" s="38">
        <f t="shared" si="58"/>
        <v>358491</v>
      </c>
      <c r="E48" s="37">
        <v>81.0</v>
      </c>
      <c r="F48" s="37">
        <v>220.0</v>
      </c>
      <c r="G48" s="36">
        <f t="shared" ref="G48:H48" si="62">B48/E48</f>
        <v>1215.493827</v>
      </c>
      <c r="H48" s="36">
        <f t="shared" si="62"/>
        <v>1181.981818</v>
      </c>
      <c r="I48" s="32" t="s">
        <v>23</v>
      </c>
      <c r="J48" s="36">
        <f t="shared" ref="J48:K48" si="63">SUM(B49:B50)</f>
        <v>355781</v>
      </c>
      <c r="K48" s="36">
        <f t="shared" si="63"/>
        <v>668925</v>
      </c>
      <c r="L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4">
        <v>30.0</v>
      </c>
      <c r="B49" s="45">
        <v>183746.0</v>
      </c>
      <c r="C49" s="45">
        <v>368374.0</v>
      </c>
      <c r="D49" s="47">
        <f t="shared" si="58"/>
        <v>552120</v>
      </c>
      <c r="E49" s="46">
        <v>123.0</v>
      </c>
      <c r="F49" s="46">
        <v>278.0</v>
      </c>
      <c r="G49" s="45">
        <f t="shared" ref="G49:H49" si="64">B49/E49</f>
        <v>1493.869919</v>
      </c>
      <c r="H49" s="45">
        <f t="shared" si="64"/>
        <v>1325.086331</v>
      </c>
      <c r="I49" s="32" t="s">
        <v>17</v>
      </c>
      <c r="J49" s="36">
        <f t="shared" ref="J49:K49" si="65">SUM(J47:J48)</f>
        <v>822750</v>
      </c>
      <c r="K49" s="36">
        <f t="shared" si="65"/>
        <v>1573142</v>
      </c>
      <c r="L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4">
        <v>31.0</v>
      </c>
      <c r="B50" s="45">
        <v>172035.0</v>
      </c>
      <c r="C50" s="45">
        <v>300551.0</v>
      </c>
      <c r="D50" s="47">
        <f t="shared" si="58"/>
        <v>472586</v>
      </c>
      <c r="E50" s="46">
        <v>133.0</v>
      </c>
      <c r="F50" s="46">
        <v>238.0</v>
      </c>
      <c r="G50" s="45">
        <f t="shared" ref="G50:H50" si="66">B50/E50</f>
        <v>1293.496241</v>
      </c>
      <c r="H50" s="45">
        <f t="shared" si="66"/>
        <v>1262.819328</v>
      </c>
      <c r="I50" s="32" t="s">
        <v>26</v>
      </c>
      <c r="J50" s="48">
        <f t="shared" ref="J50:K50" si="67">J47/J48</f>
        <v>1.312518094</v>
      </c>
      <c r="K50" s="48">
        <f t="shared" si="67"/>
        <v>1.351746459</v>
      </c>
      <c r="L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5" t="s">
        <v>29</v>
      </c>
      <c r="B51" s="50">
        <f t="shared" ref="B51:F51" si="68">SUM(B45:B50)</f>
        <v>822750</v>
      </c>
      <c r="C51" s="50">
        <f t="shared" si="68"/>
        <v>1573142</v>
      </c>
      <c r="D51" s="50">
        <f t="shared" si="68"/>
        <v>2395892</v>
      </c>
      <c r="E51" s="57">
        <f t="shared" si="68"/>
        <v>606</v>
      </c>
      <c r="F51" s="57">
        <f t="shared" si="68"/>
        <v>1336</v>
      </c>
      <c r="G51" s="50">
        <f t="shared" ref="G51:H51" si="69">B51/E51</f>
        <v>1357.673267</v>
      </c>
      <c r="H51" s="50">
        <f t="shared" si="69"/>
        <v>1177.501497</v>
      </c>
      <c r="I51" s="32" t="s">
        <v>28</v>
      </c>
      <c r="J51" s="48">
        <f t="shared" ref="J51:K51" si="70">1-J47/J48</f>
        <v>-0.312518094</v>
      </c>
      <c r="K51" s="48">
        <f t="shared" si="70"/>
        <v>-0.3517464589</v>
      </c>
      <c r="L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2" t="s">
        <v>29</v>
      </c>
      <c r="B52" s="36">
        <f t="shared" ref="B52:F52" si="71">SUM(B20,B28,B36,B44,B51)</f>
        <v>4757492</v>
      </c>
      <c r="C52" s="36">
        <f t="shared" si="71"/>
        <v>8577656</v>
      </c>
      <c r="D52" s="36">
        <f t="shared" si="71"/>
        <v>13335148</v>
      </c>
      <c r="E52" s="36">
        <f t="shared" si="71"/>
        <v>3561</v>
      </c>
      <c r="F52" s="36">
        <f t="shared" si="71"/>
        <v>7278</v>
      </c>
      <c r="G52" s="36">
        <f t="shared" ref="G52:H52" si="72">B52/E52</f>
        <v>1335.998877</v>
      </c>
      <c r="H52" s="36">
        <f t="shared" si="72"/>
        <v>1178.573234</v>
      </c>
      <c r="I52" s="1"/>
      <c r="J52" s="1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2" t="s">
        <v>31</v>
      </c>
      <c r="B53" s="36">
        <v>4240000.0</v>
      </c>
      <c r="C53" s="36">
        <v>8400000.0</v>
      </c>
      <c r="D53" s="36">
        <f>SUM(B53:C53)</f>
        <v>12640000</v>
      </c>
      <c r="E53" s="63"/>
      <c r="F53" s="63"/>
      <c r="G53" s="63"/>
      <c r="H53" s="63"/>
      <c r="I53" s="1"/>
      <c r="J53" s="1"/>
      <c r="K53" s="1"/>
      <c r="L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2" t="s">
        <v>32</v>
      </c>
      <c r="B54" s="174">
        <f t="shared" ref="B54:D54" si="73">B52/B53</f>
        <v>1.12205</v>
      </c>
      <c r="C54" s="174">
        <f t="shared" si="73"/>
        <v>1.021149524</v>
      </c>
      <c r="D54" s="174">
        <f t="shared" si="73"/>
        <v>1.054995886</v>
      </c>
      <c r="E54" s="66"/>
      <c r="F54" s="66"/>
      <c r="G54" s="66"/>
      <c r="H54" s="66"/>
      <c r="I54" s="1"/>
      <c r="J54" s="1"/>
      <c r="K54" s="1"/>
      <c r="L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2" t="s">
        <v>33</v>
      </c>
      <c r="B55" s="36">
        <f t="shared" ref="B55:F55" si="74">B52/31</f>
        <v>153467.4839</v>
      </c>
      <c r="C55" s="36">
        <f t="shared" si="74"/>
        <v>276698.5806</v>
      </c>
      <c r="D55" s="36">
        <f t="shared" si="74"/>
        <v>430166.0645</v>
      </c>
      <c r="E55" s="63">
        <f t="shared" si="74"/>
        <v>114.8709677</v>
      </c>
      <c r="F55" s="63">
        <f t="shared" si="74"/>
        <v>234.7741935</v>
      </c>
      <c r="G55" s="36"/>
      <c r="H55" s="63"/>
      <c r="I55" s="1"/>
      <c r="J55" s="1"/>
      <c r="K55" s="1"/>
      <c r="L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/>
      <c r="B56" s="5"/>
      <c r="C56" s="5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34</v>
      </c>
      <c r="B57" s="3"/>
      <c r="C57" s="3"/>
      <c r="D57" s="3"/>
      <c r="E57" s="3"/>
      <c r="F57" s="3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/>
      <c r="B58" s="7"/>
      <c r="C58" s="7"/>
      <c r="D58" s="7"/>
      <c r="E58" s="7"/>
      <c r="F58" s="7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1</v>
      </c>
      <c r="B59" s="10" t="s">
        <v>535</v>
      </c>
      <c r="C59" s="10" t="s">
        <v>536</v>
      </c>
      <c r="D59" s="10" t="s">
        <v>537</v>
      </c>
      <c r="E59" s="10" t="s">
        <v>538</v>
      </c>
      <c r="F59" s="10" t="s">
        <v>539</v>
      </c>
      <c r="G59" s="10" t="s">
        <v>540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8</v>
      </c>
      <c r="B60" s="11">
        <v>3750000.0</v>
      </c>
      <c r="C60" s="12">
        <v>3744759.0</v>
      </c>
      <c r="D60" s="11">
        <v>4240000.0</v>
      </c>
      <c r="E60" s="12">
        <v>4757492.0</v>
      </c>
      <c r="F60" s="16">
        <f t="shared" ref="F60:F61" si="75">C60/B60</f>
        <v>0.9986024</v>
      </c>
      <c r="G60" s="15">
        <f t="shared" ref="G60:G61" si="76">E60/D60</f>
        <v>1.12205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 t="s">
        <v>9</v>
      </c>
      <c r="B61" s="11">
        <v>7820000.0</v>
      </c>
      <c r="C61" s="12">
        <v>8109521.0</v>
      </c>
      <c r="D61" s="11">
        <v>8400000.0</v>
      </c>
      <c r="E61" s="12">
        <v>8577656.0</v>
      </c>
      <c r="F61" s="15">
        <f t="shared" si="75"/>
        <v>1.037023146</v>
      </c>
      <c r="G61" s="15">
        <f t="shared" si="76"/>
        <v>1.021149524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0" t="s">
        <v>1</v>
      </c>
      <c r="B63" s="71" t="s">
        <v>41</v>
      </c>
      <c r="C63" s="71" t="s">
        <v>42</v>
      </c>
      <c r="D63" s="1"/>
      <c r="E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0" t="s">
        <v>8</v>
      </c>
      <c r="B64" s="72">
        <f t="shared" ref="B64:C64" si="77">(D60-B60)/B60</f>
        <v>0.1306666667</v>
      </c>
      <c r="C64" s="72">
        <f t="shared" si="77"/>
        <v>0.2704401004</v>
      </c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0" t="s">
        <v>9</v>
      </c>
      <c r="B65" s="72">
        <f t="shared" ref="B65:C65" si="78">(D61-B61)/B61</f>
        <v>0.07416879795</v>
      </c>
      <c r="C65" s="72">
        <f t="shared" si="78"/>
        <v>0.05772659076</v>
      </c>
      <c r="D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2"/>
      <c r="D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3" t="s">
        <v>43</v>
      </c>
      <c r="B67" s="27"/>
      <c r="C67" s="27"/>
      <c r="D67" s="28"/>
      <c r="E67" s="5"/>
      <c r="F67" s="223" t="s">
        <v>541</v>
      </c>
      <c r="G67" s="224"/>
      <c r="H67" s="224"/>
      <c r="I67" s="224"/>
      <c r="J67" s="224"/>
      <c r="K67" s="224"/>
      <c r="L67" s="224"/>
      <c r="M67" s="224"/>
      <c r="N67" s="2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5"/>
      <c r="B68" s="43" t="s">
        <v>15</v>
      </c>
      <c r="C68" s="32" t="s">
        <v>16</v>
      </c>
      <c r="D68" s="32" t="s">
        <v>17</v>
      </c>
      <c r="E68" s="5"/>
      <c r="F68" s="226"/>
      <c r="N68" s="22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13">
        <v>1.0</v>
      </c>
      <c r="B69" s="228">
        <v>14.0</v>
      </c>
      <c r="C69" s="228">
        <v>39.0</v>
      </c>
      <c r="D69" s="228">
        <f t="shared" ref="D69:D72" si="79">SUM(B69:C69)</f>
        <v>53</v>
      </c>
      <c r="E69" s="5"/>
      <c r="F69" s="226"/>
      <c r="N69" s="22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13">
        <v>2.0</v>
      </c>
      <c r="B70" s="228">
        <v>3.0</v>
      </c>
      <c r="C70" s="228">
        <v>30.0</v>
      </c>
      <c r="D70" s="228">
        <f t="shared" si="79"/>
        <v>33</v>
      </c>
      <c r="E70" s="5"/>
      <c r="F70" s="226"/>
      <c r="N70" s="22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13">
        <v>3.0</v>
      </c>
      <c r="B71" s="228">
        <v>11.0</v>
      </c>
      <c r="C71" s="228">
        <v>24.0</v>
      </c>
      <c r="D71" s="228">
        <f t="shared" si="79"/>
        <v>35</v>
      </c>
      <c r="E71" s="5"/>
      <c r="F71" s="226"/>
      <c r="N71" s="22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13">
        <v>4.0</v>
      </c>
      <c r="B72" s="228">
        <v>15.0</v>
      </c>
      <c r="C72" s="228">
        <v>15.0</v>
      </c>
      <c r="D72" s="228">
        <f t="shared" si="79"/>
        <v>30</v>
      </c>
      <c r="E72" s="5"/>
      <c r="F72" s="226"/>
      <c r="N72" s="22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49" t="s">
        <v>29</v>
      </c>
      <c r="B73" s="229">
        <f t="shared" ref="B73:D73" si="80">SUM(B69:B72)</f>
        <v>43</v>
      </c>
      <c r="C73" s="229">
        <f t="shared" si="80"/>
        <v>108</v>
      </c>
      <c r="D73" s="229">
        <f t="shared" si="80"/>
        <v>151</v>
      </c>
      <c r="E73" s="5"/>
      <c r="F73" s="226"/>
      <c r="N73" s="22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5">
        <v>5.0</v>
      </c>
      <c r="B74" s="230">
        <v>12.0</v>
      </c>
      <c r="C74" s="230">
        <v>27.0</v>
      </c>
      <c r="D74" s="230">
        <f t="shared" ref="D74:D80" si="81">SUM(B74:C74)</f>
        <v>39</v>
      </c>
      <c r="E74" s="5"/>
      <c r="F74" s="226"/>
      <c r="N74" s="22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5">
        <v>6.0</v>
      </c>
      <c r="B75" s="230">
        <v>4.0</v>
      </c>
      <c r="C75" s="230">
        <v>21.0</v>
      </c>
      <c r="D75" s="230">
        <f t="shared" si="81"/>
        <v>25</v>
      </c>
      <c r="E75" s="5"/>
      <c r="F75" s="226"/>
      <c r="N75" s="22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5">
        <v>7.0</v>
      </c>
      <c r="B76" s="230">
        <v>8.0</v>
      </c>
      <c r="C76" s="230">
        <v>25.0</v>
      </c>
      <c r="D76" s="230">
        <f t="shared" si="81"/>
        <v>33</v>
      </c>
      <c r="E76" s="1"/>
      <c r="F76" s="226"/>
      <c r="N76" s="22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5">
        <v>8.0</v>
      </c>
      <c r="B77" s="230">
        <v>7.0</v>
      </c>
      <c r="C77" s="230">
        <v>32.0</v>
      </c>
      <c r="D77" s="230">
        <f t="shared" si="81"/>
        <v>39</v>
      </c>
      <c r="F77" s="226"/>
      <c r="N77" s="22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13">
        <v>9.0</v>
      </c>
      <c r="B78" s="228">
        <v>17.0</v>
      </c>
      <c r="C78" s="228">
        <v>44.0</v>
      </c>
      <c r="D78" s="228">
        <f t="shared" si="81"/>
        <v>61</v>
      </c>
      <c r="F78" s="226"/>
      <c r="N78" s="22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13">
        <v>10.0</v>
      </c>
      <c r="B79" s="228">
        <v>11.0</v>
      </c>
      <c r="C79" s="228">
        <v>27.0</v>
      </c>
      <c r="D79" s="228">
        <f t="shared" si="81"/>
        <v>38</v>
      </c>
      <c r="F79" s="226"/>
      <c r="N79" s="22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13">
        <v>11.0</v>
      </c>
      <c r="B80" s="228">
        <v>9.0</v>
      </c>
      <c r="C80" s="228">
        <v>20.0</v>
      </c>
      <c r="D80" s="228">
        <f t="shared" si="81"/>
        <v>29</v>
      </c>
      <c r="F80" s="226"/>
      <c r="N80" s="22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49" t="s">
        <v>29</v>
      </c>
      <c r="B81" s="229">
        <f t="shared" ref="B81:D81" si="82">SUM(B74:B80)</f>
        <v>68</v>
      </c>
      <c r="C81" s="229">
        <f t="shared" si="82"/>
        <v>196</v>
      </c>
      <c r="D81" s="229">
        <f t="shared" si="82"/>
        <v>264</v>
      </c>
      <c r="F81" s="226"/>
      <c r="N81" s="2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5">
        <v>12.0</v>
      </c>
      <c r="B82" s="230">
        <v>8.0</v>
      </c>
      <c r="C82" s="230">
        <v>17.0</v>
      </c>
      <c r="D82" s="230">
        <f t="shared" ref="D82:D88" si="83">SUM(B82:C82)</f>
        <v>25</v>
      </c>
      <c r="F82" s="226"/>
      <c r="N82" s="2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5">
        <v>13.0</v>
      </c>
      <c r="B83" s="230">
        <v>5.0</v>
      </c>
      <c r="C83" s="230">
        <v>21.0</v>
      </c>
      <c r="D83" s="230">
        <f t="shared" si="83"/>
        <v>26</v>
      </c>
      <c r="F83" s="226"/>
      <c r="N83" s="2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5">
        <v>14.0</v>
      </c>
      <c r="B84" s="230">
        <v>3.0</v>
      </c>
      <c r="C84" s="230">
        <v>13.0</v>
      </c>
      <c r="D84" s="230">
        <f t="shared" si="83"/>
        <v>16</v>
      </c>
      <c r="F84" s="226"/>
      <c r="N84" s="2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5">
        <v>15.0</v>
      </c>
      <c r="B85" s="230">
        <v>2.0</v>
      </c>
      <c r="C85" s="230">
        <v>19.0</v>
      </c>
      <c r="D85" s="230">
        <f t="shared" si="83"/>
        <v>21</v>
      </c>
      <c r="F85" s="226"/>
      <c r="N85" s="2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13">
        <v>16.0</v>
      </c>
      <c r="B86" s="228">
        <v>11.0</v>
      </c>
      <c r="C86" s="228">
        <v>22.0</v>
      </c>
      <c r="D86" s="228">
        <f t="shared" si="83"/>
        <v>33</v>
      </c>
      <c r="F86" s="226"/>
      <c r="N86" s="2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13">
        <v>17.0</v>
      </c>
      <c r="B87" s="228">
        <v>12.0</v>
      </c>
      <c r="C87" s="228">
        <v>27.0</v>
      </c>
      <c r="D87" s="228">
        <f t="shared" si="83"/>
        <v>39</v>
      </c>
      <c r="F87" s="226"/>
      <c r="N87" s="227"/>
    </row>
    <row r="88">
      <c r="A88" s="213">
        <v>18.0</v>
      </c>
      <c r="B88" s="228">
        <v>12.0</v>
      </c>
      <c r="C88" s="228">
        <v>29.0</v>
      </c>
      <c r="D88" s="228">
        <f t="shared" si="83"/>
        <v>41</v>
      </c>
      <c r="F88" s="226"/>
      <c r="N88" s="227"/>
    </row>
    <row r="89">
      <c r="A89" s="49" t="s">
        <v>29</v>
      </c>
      <c r="B89" s="229">
        <f t="shared" ref="B89:D89" si="84">SUM(B82:B88)</f>
        <v>53</v>
      </c>
      <c r="C89" s="229">
        <f t="shared" si="84"/>
        <v>148</v>
      </c>
      <c r="D89" s="229">
        <f t="shared" si="84"/>
        <v>201</v>
      </c>
      <c r="F89" s="226"/>
      <c r="N89" s="227"/>
    </row>
    <row r="90">
      <c r="A90" s="35">
        <v>19.0</v>
      </c>
      <c r="B90" s="230">
        <v>4.0</v>
      </c>
      <c r="C90" s="230">
        <v>16.0</v>
      </c>
      <c r="D90" s="230">
        <f t="shared" ref="D90:D96" si="85">SUM(B90:C90)</f>
        <v>20</v>
      </c>
      <c r="F90" s="226"/>
      <c r="N90" s="227"/>
    </row>
    <row r="91">
      <c r="A91" s="35">
        <v>20.0</v>
      </c>
      <c r="B91" s="230">
        <v>7.0</v>
      </c>
      <c r="C91" s="230">
        <v>28.0</v>
      </c>
      <c r="D91" s="230">
        <f t="shared" si="85"/>
        <v>35</v>
      </c>
      <c r="F91" s="226"/>
      <c r="N91" s="227"/>
    </row>
    <row r="92">
      <c r="A92" s="35">
        <v>21.0</v>
      </c>
      <c r="B92" s="230">
        <v>7.0</v>
      </c>
      <c r="C92" s="230">
        <v>21.0</v>
      </c>
      <c r="D92" s="230">
        <f t="shared" si="85"/>
        <v>28</v>
      </c>
      <c r="F92" s="226"/>
      <c r="N92" s="227"/>
    </row>
    <row r="93">
      <c r="A93" s="35">
        <v>22.0</v>
      </c>
      <c r="B93" s="230">
        <v>6.0</v>
      </c>
      <c r="C93" s="230">
        <v>18.0</v>
      </c>
      <c r="D93" s="230">
        <f t="shared" si="85"/>
        <v>24</v>
      </c>
      <c r="F93" s="226"/>
      <c r="N93" s="227"/>
    </row>
    <row r="94">
      <c r="A94" s="213">
        <v>23.0</v>
      </c>
      <c r="B94" s="228">
        <v>18.0</v>
      </c>
      <c r="C94" s="228">
        <v>35.0</v>
      </c>
      <c r="D94" s="228">
        <f t="shared" si="85"/>
        <v>53</v>
      </c>
      <c r="F94" s="226"/>
      <c r="N94" s="227"/>
    </row>
    <row r="95">
      <c r="A95" s="213">
        <v>24.0</v>
      </c>
      <c r="B95" s="228">
        <v>19.0</v>
      </c>
      <c r="C95" s="228">
        <v>23.0</v>
      </c>
      <c r="D95" s="228">
        <f t="shared" si="85"/>
        <v>42</v>
      </c>
      <c r="F95" s="226"/>
      <c r="N95" s="227"/>
    </row>
    <row r="96">
      <c r="A96" s="213">
        <v>25.0</v>
      </c>
      <c r="B96" s="228">
        <v>9.0</v>
      </c>
      <c r="C96" s="228">
        <v>21.0</v>
      </c>
      <c r="D96" s="228">
        <f t="shared" si="85"/>
        <v>30</v>
      </c>
      <c r="F96" s="226"/>
      <c r="N96" s="227"/>
    </row>
    <row r="97">
      <c r="A97" s="49" t="s">
        <v>29</v>
      </c>
      <c r="B97" s="229">
        <f t="shared" ref="B97:D97" si="86">SUM(B90:B96)</f>
        <v>70</v>
      </c>
      <c r="C97" s="229">
        <f t="shared" si="86"/>
        <v>162</v>
      </c>
      <c r="D97" s="229">
        <f t="shared" si="86"/>
        <v>232</v>
      </c>
      <c r="F97" s="226"/>
      <c r="N97" s="227"/>
    </row>
    <row r="98">
      <c r="A98" s="35">
        <v>26.0</v>
      </c>
      <c r="B98" s="230">
        <v>10.0</v>
      </c>
      <c r="C98" s="230">
        <v>19.0</v>
      </c>
      <c r="D98" s="230">
        <f t="shared" ref="D98:D103" si="87">SUM(B98:C98)</f>
        <v>29</v>
      </c>
      <c r="F98" s="226"/>
      <c r="N98" s="227"/>
    </row>
    <row r="99">
      <c r="A99" s="35">
        <v>27.0</v>
      </c>
      <c r="B99" s="230">
        <v>2.0</v>
      </c>
      <c r="C99" s="230">
        <v>14.0</v>
      </c>
      <c r="D99" s="230">
        <f t="shared" si="87"/>
        <v>16</v>
      </c>
      <c r="F99" s="226"/>
      <c r="N99" s="227"/>
    </row>
    <row r="100">
      <c r="A100" s="35">
        <v>28.0</v>
      </c>
      <c r="B100" s="230">
        <v>5.0</v>
      </c>
      <c r="C100" s="230">
        <v>25.0</v>
      </c>
      <c r="D100" s="230">
        <f t="shared" si="87"/>
        <v>30</v>
      </c>
      <c r="F100" s="226"/>
      <c r="N100" s="227"/>
    </row>
    <row r="101">
      <c r="A101" s="35">
        <v>29.0</v>
      </c>
      <c r="B101" s="230">
        <v>5.0</v>
      </c>
      <c r="C101" s="230">
        <v>23.0</v>
      </c>
      <c r="D101" s="230">
        <f t="shared" si="87"/>
        <v>28</v>
      </c>
      <c r="F101" s="226"/>
      <c r="N101" s="227"/>
    </row>
    <row r="102">
      <c r="A102" s="231">
        <v>30.0</v>
      </c>
      <c r="B102" s="232">
        <v>13.0</v>
      </c>
      <c r="C102" s="232">
        <v>25.0</v>
      </c>
      <c r="D102" s="232">
        <f t="shared" si="87"/>
        <v>38</v>
      </c>
      <c r="F102" s="226"/>
      <c r="N102" s="227"/>
    </row>
    <row r="103">
      <c r="A103" s="231">
        <v>31.0</v>
      </c>
      <c r="B103" s="232">
        <v>9.0</v>
      </c>
      <c r="C103" s="232">
        <v>29.0</v>
      </c>
      <c r="D103" s="232">
        <f t="shared" si="87"/>
        <v>38</v>
      </c>
      <c r="F103" s="226"/>
      <c r="N103" s="227"/>
    </row>
    <row r="104">
      <c r="A104" s="175" t="s">
        <v>29</v>
      </c>
      <c r="B104" s="229">
        <f t="shared" ref="B104:D104" si="88">SUM(B98:B103)</f>
        <v>44</v>
      </c>
      <c r="C104" s="229">
        <f t="shared" si="88"/>
        <v>135</v>
      </c>
      <c r="D104" s="229">
        <f t="shared" si="88"/>
        <v>179</v>
      </c>
      <c r="F104" s="226"/>
      <c r="N104" s="227"/>
    </row>
    <row r="105">
      <c r="A105" s="32" t="s">
        <v>29</v>
      </c>
      <c r="B105" s="37">
        <f t="shared" ref="B105:D105" si="89">SUM(B73,B81,B89,B97,B104)</f>
        <v>278</v>
      </c>
      <c r="C105" s="37">
        <f t="shared" si="89"/>
        <v>749</v>
      </c>
      <c r="D105" s="37">
        <f t="shared" si="89"/>
        <v>1027</v>
      </c>
      <c r="F105" s="226"/>
      <c r="N105" s="227"/>
    </row>
    <row r="106">
      <c r="A106" s="32" t="s">
        <v>31</v>
      </c>
      <c r="B106" s="37">
        <v>310.0</v>
      </c>
      <c r="C106" s="37">
        <v>650.0</v>
      </c>
      <c r="D106" s="37">
        <f>SUM(B106:C106)</f>
        <v>960</v>
      </c>
      <c r="F106" s="226"/>
      <c r="N106" s="227"/>
    </row>
    <row r="107">
      <c r="A107" s="32" t="s">
        <v>32</v>
      </c>
      <c r="B107" s="65">
        <f t="shared" ref="B107:D107" si="90">B105/B106</f>
        <v>0.8967741935</v>
      </c>
      <c r="C107" s="174">
        <f t="shared" si="90"/>
        <v>1.152307692</v>
      </c>
      <c r="D107" s="174">
        <f t="shared" si="90"/>
        <v>1.069791667</v>
      </c>
      <c r="F107" s="226"/>
      <c r="N107" s="227"/>
    </row>
    <row r="108">
      <c r="A108" s="32" t="s">
        <v>33</v>
      </c>
      <c r="B108" s="36">
        <f t="shared" ref="B108:D108" si="91">B105/31</f>
        <v>8.967741935</v>
      </c>
      <c r="C108" s="36">
        <f t="shared" si="91"/>
        <v>24.16129032</v>
      </c>
      <c r="D108" s="36">
        <f t="shared" si="91"/>
        <v>33.12903226</v>
      </c>
      <c r="F108" s="233"/>
      <c r="G108" s="234"/>
      <c r="H108" s="234"/>
      <c r="I108" s="234"/>
      <c r="J108" s="234"/>
      <c r="K108" s="234"/>
      <c r="L108" s="234"/>
      <c r="M108" s="234"/>
      <c r="N108" s="235"/>
    </row>
    <row r="110">
      <c r="C110" s="78"/>
    </row>
    <row r="112">
      <c r="A112" s="216" t="s">
        <v>44</v>
      </c>
      <c r="B112" s="27"/>
      <c r="C112" s="27"/>
      <c r="D112" s="28"/>
      <c r="F112" s="153" t="s">
        <v>542</v>
      </c>
    </row>
    <row r="113">
      <c r="A113" s="217"/>
      <c r="B113" s="152" t="s">
        <v>543</v>
      </c>
      <c r="C113" s="152" t="s">
        <v>544</v>
      </c>
      <c r="D113" s="217"/>
    </row>
    <row r="114">
      <c r="A114" s="152" t="s">
        <v>48</v>
      </c>
      <c r="B114" s="152">
        <v>1419.0</v>
      </c>
      <c r="C114" s="152">
        <v>1522.0</v>
      </c>
      <c r="D114" s="218">
        <f t="shared" ref="D114:D115" si="92">C114/B114-100%</f>
        <v>0.0725863284</v>
      </c>
    </row>
    <row r="115">
      <c r="A115" s="152" t="s">
        <v>49</v>
      </c>
      <c r="B115" s="152">
        <v>2516.0</v>
      </c>
      <c r="C115" s="152">
        <v>2484.0</v>
      </c>
      <c r="D115" s="218">
        <f t="shared" si="92"/>
        <v>-0.01271860095</v>
      </c>
    </row>
    <row r="116">
      <c r="F116" s="153" t="s">
        <v>545</v>
      </c>
    </row>
    <row r="119">
      <c r="F119" s="153" t="s">
        <v>546</v>
      </c>
    </row>
  </sheetData>
  <mergeCells count="10">
    <mergeCell ref="E63:G66"/>
    <mergeCell ref="F67:N108"/>
    <mergeCell ref="A112:D112"/>
    <mergeCell ref="A2:G3"/>
    <mergeCell ref="A8:G9"/>
    <mergeCell ref="B14:D14"/>
    <mergeCell ref="E14:F14"/>
    <mergeCell ref="G14:H14"/>
    <mergeCell ref="A57:G58"/>
    <mergeCell ref="A67:D6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3.5"/>
    <col customWidth="1" min="3" max="3" width="21.88"/>
    <col customWidth="1" min="4" max="4" width="27.75"/>
    <col customWidth="1" min="7" max="7" width="36.0"/>
    <col customWidth="1" min="8" max="8" width="20.13"/>
    <col customWidth="1" min="9" max="9" width="17.75"/>
    <col customWidth="1" min="10" max="10" width="26.0"/>
    <col customWidth="1" min="19" max="19" width="21.25"/>
    <col customWidth="1" min="21" max="21" width="20.88"/>
  </cols>
  <sheetData>
    <row r="1">
      <c r="Q1" s="152" t="s">
        <v>506</v>
      </c>
      <c r="R1" s="152" t="s">
        <v>547</v>
      </c>
      <c r="S1" s="152" t="s">
        <v>548</v>
      </c>
      <c r="T1" s="152" t="s">
        <v>549</v>
      </c>
      <c r="U1" s="152" t="s">
        <v>550</v>
      </c>
    </row>
    <row r="2">
      <c r="K2" s="236" t="s">
        <v>258</v>
      </c>
      <c r="Q2" s="208">
        <v>45778.0</v>
      </c>
      <c r="R2" s="237">
        <v>273.0</v>
      </c>
      <c r="S2" s="237">
        <v>2.0</v>
      </c>
      <c r="T2" s="237">
        <v>307.0</v>
      </c>
      <c r="U2" s="237">
        <v>2.0</v>
      </c>
    </row>
    <row r="3">
      <c r="Q3" s="208">
        <v>45779.0</v>
      </c>
      <c r="R3" s="237">
        <v>334.0</v>
      </c>
      <c r="S3" s="237">
        <v>2.0</v>
      </c>
      <c r="T3" s="237">
        <v>632.0</v>
      </c>
      <c r="U3" s="237">
        <v>1.0</v>
      </c>
    </row>
    <row r="4">
      <c r="Q4" s="208">
        <v>45780.0</v>
      </c>
      <c r="R4" s="237">
        <v>278.0</v>
      </c>
      <c r="S4" s="237">
        <v>3.0</v>
      </c>
      <c r="T4" s="237">
        <v>578.0</v>
      </c>
      <c r="U4" s="237">
        <v>1.0</v>
      </c>
    </row>
    <row r="5">
      <c r="Q5" s="208">
        <v>45781.0</v>
      </c>
      <c r="R5" s="237">
        <v>317.0</v>
      </c>
      <c r="S5" s="237">
        <v>1.0</v>
      </c>
      <c r="T5" s="237">
        <v>415.0</v>
      </c>
      <c r="U5" s="237">
        <v>1.0</v>
      </c>
    </row>
    <row r="6">
      <c r="Q6" s="208">
        <v>45782.0</v>
      </c>
      <c r="R6" s="237">
        <v>465.0</v>
      </c>
      <c r="S6" s="237">
        <v>4.0</v>
      </c>
      <c r="T6" s="237">
        <v>241.0</v>
      </c>
      <c r="U6" s="237">
        <v>2.0</v>
      </c>
    </row>
    <row r="7">
      <c r="Q7" s="208">
        <v>45783.0</v>
      </c>
      <c r="R7" s="237">
        <v>295.0</v>
      </c>
      <c r="S7" s="237">
        <v>1.0</v>
      </c>
      <c r="T7" s="237">
        <v>371.0</v>
      </c>
      <c r="U7" s="237">
        <v>1.0</v>
      </c>
    </row>
    <row r="8">
      <c r="Q8" s="208">
        <v>45784.0</v>
      </c>
      <c r="R8" s="237">
        <v>295.0</v>
      </c>
      <c r="S8" s="237">
        <v>2.0</v>
      </c>
      <c r="T8" s="237">
        <v>340.0</v>
      </c>
      <c r="U8" s="237">
        <v>2.0</v>
      </c>
    </row>
    <row r="9">
      <c r="Q9" s="208">
        <v>45785.0</v>
      </c>
      <c r="R9" s="237">
        <v>308.0</v>
      </c>
      <c r="S9" s="237">
        <v>2.0</v>
      </c>
      <c r="T9" s="237">
        <v>382.0</v>
      </c>
      <c r="U9" s="237">
        <v>2.0</v>
      </c>
    </row>
    <row r="10">
      <c r="Q10" s="208">
        <v>45786.0</v>
      </c>
      <c r="R10" s="237">
        <v>517.0</v>
      </c>
      <c r="S10" s="237">
        <v>2.0</v>
      </c>
      <c r="T10" s="237">
        <v>470.0</v>
      </c>
      <c r="U10" s="237">
        <v>1.0</v>
      </c>
    </row>
    <row r="11">
      <c r="Q11" s="208">
        <v>45787.0</v>
      </c>
      <c r="R11" s="237">
        <v>255.0</v>
      </c>
      <c r="S11" s="237">
        <v>1.0</v>
      </c>
      <c r="T11" s="237">
        <v>375.0</v>
      </c>
      <c r="U11" s="237">
        <v>1.0</v>
      </c>
    </row>
    <row r="12">
      <c r="Q12" s="208">
        <v>45788.0</v>
      </c>
      <c r="R12" s="237">
        <v>305.0</v>
      </c>
      <c r="S12" s="237">
        <v>2.0</v>
      </c>
      <c r="T12" s="237">
        <v>451.0</v>
      </c>
      <c r="U12" s="237">
        <v>2.0</v>
      </c>
    </row>
    <row r="13">
      <c r="Q13" s="208">
        <v>45789.0</v>
      </c>
      <c r="R13" s="237">
        <v>300.0</v>
      </c>
      <c r="S13" s="237">
        <v>1.0</v>
      </c>
      <c r="T13" s="237">
        <v>259.0</v>
      </c>
      <c r="U13" s="237">
        <v>1.0</v>
      </c>
    </row>
    <row r="14">
      <c r="Q14" s="208">
        <v>45790.0</v>
      </c>
      <c r="R14" s="237">
        <v>264.0</v>
      </c>
      <c r="S14" s="237">
        <v>2.0</v>
      </c>
      <c r="T14" s="237">
        <v>610.0</v>
      </c>
      <c r="U14" s="237">
        <v>1.0</v>
      </c>
    </row>
    <row r="15">
      <c r="Q15" s="208">
        <v>45791.0</v>
      </c>
      <c r="R15" s="237">
        <v>356.0</v>
      </c>
      <c r="S15" s="237">
        <v>2.0</v>
      </c>
      <c r="T15" s="237">
        <v>434.0</v>
      </c>
      <c r="U15" s="237">
        <v>2.0</v>
      </c>
    </row>
    <row r="16">
      <c r="Q16" s="208">
        <v>45792.0</v>
      </c>
      <c r="R16" s="237">
        <v>269.0</v>
      </c>
      <c r="S16" s="237">
        <v>2.0</v>
      </c>
      <c r="T16" s="237">
        <v>575.0</v>
      </c>
      <c r="U16" s="237">
        <v>2.0</v>
      </c>
    </row>
    <row r="17">
      <c r="Q17" s="208">
        <v>45793.0</v>
      </c>
      <c r="R17" s="237">
        <v>357.0</v>
      </c>
      <c r="S17" s="237">
        <v>2.0</v>
      </c>
      <c r="T17" s="237">
        <v>331.0</v>
      </c>
      <c r="U17" s="237">
        <v>1.0</v>
      </c>
    </row>
    <row r="18">
      <c r="Q18" s="208">
        <v>45794.0</v>
      </c>
      <c r="R18" s="237">
        <v>328.0</v>
      </c>
      <c r="S18" s="237">
        <v>1.0</v>
      </c>
      <c r="T18" s="237">
        <v>513.0</v>
      </c>
      <c r="U18" s="237">
        <v>1.0</v>
      </c>
    </row>
    <row r="19">
      <c r="Q19" s="208">
        <v>45795.0</v>
      </c>
      <c r="R19" s="237">
        <v>228.0</v>
      </c>
      <c r="S19" s="237">
        <v>2.0</v>
      </c>
      <c r="T19" s="237">
        <v>307.0</v>
      </c>
      <c r="U19" s="237">
        <v>1.0</v>
      </c>
    </row>
    <row r="20">
      <c r="Q20" s="208">
        <v>45796.0</v>
      </c>
      <c r="R20" s="237">
        <v>362.0</v>
      </c>
      <c r="S20" s="237">
        <v>2.0</v>
      </c>
      <c r="T20" s="237">
        <v>320.0</v>
      </c>
      <c r="U20" s="237">
        <v>1.0</v>
      </c>
    </row>
    <row r="21">
      <c r="Q21" s="208">
        <v>45797.0</v>
      </c>
      <c r="R21" s="237">
        <v>312.0</v>
      </c>
      <c r="S21" s="237">
        <v>2.0</v>
      </c>
      <c r="T21" s="237">
        <v>330.0</v>
      </c>
      <c r="U21" s="237">
        <v>1.0</v>
      </c>
    </row>
    <row r="22">
      <c r="Q22" s="208">
        <v>45798.0</v>
      </c>
      <c r="R22" s="237">
        <v>353.0</v>
      </c>
      <c r="S22" s="237">
        <v>1.0</v>
      </c>
      <c r="T22" s="237">
        <v>367.0</v>
      </c>
      <c r="U22" s="237">
        <v>2.0</v>
      </c>
    </row>
    <row r="23">
      <c r="Q23" s="208">
        <v>45799.0</v>
      </c>
      <c r="R23" s="237">
        <v>283.0</v>
      </c>
      <c r="S23" s="237">
        <v>2.0</v>
      </c>
      <c r="T23" s="237">
        <v>321.0</v>
      </c>
      <c r="U23" s="237">
        <v>2.0</v>
      </c>
    </row>
    <row r="24">
      <c r="Q24" s="208">
        <v>45800.0</v>
      </c>
      <c r="R24" s="237">
        <v>356.0</v>
      </c>
      <c r="S24" s="237">
        <v>2.0</v>
      </c>
      <c r="T24" s="237">
        <v>383.0</v>
      </c>
      <c r="U24" s="237">
        <v>1.0</v>
      </c>
    </row>
    <row r="25">
      <c r="Q25" s="208">
        <v>45801.0</v>
      </c>
      <c r="R25" s="237">
        <v>220.0</v>
      </c>
      <c r="S25" s="237">
        <v>2.0</v>
      </c>
      <c r="T25" s="237">
        <v>527.0</v>
      </c>
      <c r="U25" s="237">
        <v>1.0</v>
      </c>
    </row>
    <row r="26">
      <c r="Q26" s="208">
        <v>45802.0</v>
      </c>
      <c r="R26" s="237">
        <v>250.0</v>
      </c>
      <c r="S26" s="237">
        <v>2.0</v>
      </c>
      <c r="T26" s="237">
        <v>389.0</v>
      </c>
      <c r="U26" s="237">
        <v>1.0</v>
      </c>
    </row>
    <row r="27">
      <c r="Q27" s="208">
        <v>45803.0</v>
      </c>
      <c r="R27" s="237">
        <v>283.0</v>
      </c>
      <c r="S27" s="237">
        <v>2.0</v>
      </c>
      <c r="T27" s="237">
        <v>288.0</v>
      </c>
      <c r="U27" s="237">
        <v>1.0</v>
      </c>
    </row>
    <row r="28">
      <c r="Q28" s="208">
        <v>45804.0</v>
      </c>
      <c r="R28" s="237">
        <v>423.0</v>
      </c>
      <c r="S28" s="237">
        <v>2.0</v>
      </c>
      <c r="T28" s="237">
        <v>521.0</v>
      </c>
      <c r="U28" s="237">
        <v>1.0</v>
      </c>
    </row>
    <row r="29">
      <c r="Q29" s="208">
        <v>45805.0</v>
      </c>
      <c r="R29" s="237">
        <v>304.0</v>
      </c>
      <c r="S29" s="237">
        <v>3.0</v>
      </c>
      <c r="T29" s="237">
        <v>363.0</v>
      </c>
      <c r="U29" s="237">
        <v>2.0</v>
      </c>
    </row>
    <row r="30">
      <c r="Q30" s="208">
        <v>45806.0</v>
      </c>
      <c r="R30" s="237">
        <v>515.0</v>
      </c>
      <c r="S30" s="237">
        <v>3.0</v>
      </c>
      <c r="T30" s="237">
        <v>334.0</v>
      </c>
      <c r="U30" s="237">
        <v>2.0</v>
      </c>
    </row>
    <row r="31">
      <c r="Q31" s="208">
        <v>45807.0</v>
      </c>
      <c r="R31" s="237">
        <v>299.0</v>
      </c>
      <c r="S31" s="237">
        <v>2.0</v>
      </c>
      <c r="T31" s="237">
        <v>320.0</v>
      </c>
      <c r="U31" s="237">
        <v>1.0</v>
      </c>
    </row>
    <row r="32">
      <c r="Q32" s="208">
        <v>45808.0</v>
      </c>
      <c r="R32" s="237">
        <v>358.0</v>
      </c>
      <c r="S32" s="237">
        <v>1.0</v>
      </c>
      <c r="T32" s="237">
        <v>471.0</v>
      </c>
      <c r="U32" s="237">
        <v>2.0</v>
      </c>
    </row>
    <row r="58">
      <c r="J58" s="145" t="s">
        <v>257</v>
      </c>
    </row>
    <row r="92">
      <c r="A92" s="2" t="s">
        <v>259</v>
      </c>
      <c r="B92" s="3"/>
      <c r="C92" s="3"/>
      <c r="D92" s="4"/>
    </row>
    <row r="93">
      <c r="A93" s="6"/>
      <c r="B93" s="7"/>
      <c r="C93" s="7"/>
      <c r="D93" s="8"/>
    </row>
    <row r="94">
      <c r="A94" s="24"/>
      <c r="B94" s="9" t="s">
        <v>63</v>
      </c>
      <c r="C94" s="152" t="s">
        <v>59</v>
      </c>
      <c r="D94" s="10" t="s">
        <v>551</v>
      </c>
    </row>
    <row r="95">
      <c r="A95" s="9" t="s">
        <v>261</v>
      </c>
      <c r="B95" s="9">
        <v>13709.0</v>
      </c>
      <c r="C95" s="152">
        <v>19927.0</v>
      </c>
      <c r="D95" s="15">
        <f t="shared" ref="D95:D102" si="1">C95/B95-100%</f>
        <v>0.453570647</v>
      </c>
    </row>
    <row r="96">
      <c r="A96" s="9" t="s">
        <v>262</v>
      </c>
      <c r="B96" s="9">
        <v>99348.0</v>
      </c>
      <c r="C96" s="152">
        <v>125960.0</v>
      </c>
      <c r="D96" s="15">
        <f t="shared" si="1"/>
        <v>0.2678664895</v>
      </c>
    </row>
    <row r="97">
      <c r="A97" s="9" t="s">
        <v>263</v>
      </c>
      <c r="B97" s="9">
        <v>1372.0</v>
      </c>
      <c r="C97" s="152">
        <v>747.0</v>
      </c>
      <c r="D97" s="149">
        <f t="shared" si="1"/>
        <v>-0.4555393586</v>
      </c>
    </row>
    <row r="98">
      <c r="A98" s="9" t="s">
        <v>264</v>
      </c>
      <c r="B98" s="9">
        <v>339.0</v>
      </c>
      <c r="C98" s="152">
        <v>1696.0</v>
      </c>
      <c r="D98" s="15">
        <f t="shared" si="1"/>
        <v>4.002949853</v>
      </c>
    </row>
    <row r="99">
      <c r="A99" s="9" t="s">
        <v>265</v>
      </c>
      <c r="B99" s="9">
        <v>117.0</v>
      </c>
      <c r="C99" s="152">
        <v>208.0</v>
      </c>
      <c r="D99" s="15">
        <f t="shared" si="1"/>
        <v>0.7777777778</v>
      </c>
    </row>
    <row r="100">
      <c r="A100" s="9" t="s">
        <v>266</v>
      </c>
      <c r="B100" s="9">
        <v>63.0</v>
      </c>
      <c r="C100" s="152">
        <v>147.0</v>
      </c>
      <c r="D100" s="15">
        <f t="shared" si="1"/>
        <v>1.333333333</v>
      </c>
    </row>
    <row r="101">
      <c r="A101" s="9" t="s">
        <v>267</v>
      </c>
      <c r="B101" s="9">
        <v>7.0</v>
      </c>
      <c r="C101" s="152">
        <v>5.0</v>
      </c>
      <c r="D101" s="149">
        <f t="shared" si="1"/>
        <v>-0.2857142857</v>
      </c>
    </row>
    <row r="102">
      <c r="A102" s="9" t="s">
        <v>268</v>
      </c>
      <c r="B102" s="9">
        <v>5.0</v>
      </c>
      <c r="C102" s="152">
        <v>10.0</v>
      </c>
      <c r="D102" s="15">
        <f t="shared" si="1"/>
        <v>1</v>
      </c>
    </row>
    <row r="103">
      <c r="A103" s="20" t="s">
        <v>269</v>
      </c>
      <c r="B103" s="160">
        <f>8873/8815-100%</f>
        <v>0.006579693704</v>
      </c>
      <c r="C103" s="218">
        <f>9018/8873-100%</f>
        <v>0.01634171081</v>
      </c>
      <c r="D103" s="15">
        <f>C103-B103</f>
        <v>0.009762017104</v>
      </c>
    </row>
    <row r="108">
      <c r="A108" s="2" t="s">
        <v>270</v>
      </c>
      <c r="B108" s="3"/>
      <c r="C108" s="3"/>
      <c r="D108" s="4"/>
      <c r="G108" s="158" t="s">
        <v>525</v>
      </c>
      <c r="H108" s="3"/>
      <c r="I108" s="3"/>
      <c r="J108" s="4"/>
    </row>
    <row r="109">
      <c r="A109" s="6"/>
      <c r="B109" s="7"/>
      <c r="C109" s="7"/>
      <c r="D109" s="8"/>
      <c r="G109" s="6"/>
      <c r="H109" s="7"/>
      <c r="I109" s="7"/>
      <c r="J109" s="8"/>
    </row>
    <row r="110">
      <c r="A110" s="24"/>
      <c r="B110" s="20" t="s">
        <v>63</v>
      </c>
      <c r="C110" s="152" t="s">
        <v>526</v>
      </c>
      <c r="D110" s="22" t="s">
        <v>552</v>
      </c>
      <c r="G110" s="24"/>
      <c r="H110" s="20" t="s">
        <v>63</v>
      </c>
      <c r="I110" s="152" t="s">
        <v>526</v>
      </c>
      <c r="J110" s="22" t="s">
        <v>552</v>
      </c>
    </row>
    <row r="111">
      <c r="A111" s="20" t="s">
        <v>273</v>
      </c>
      <c r="B111" s="20">
        <v>3937.0</v>
      </c>
      <c r="C111" s="219">
        <v>3177.0</v>
      </c>
      <c r="D111" s="23">
        <f t="shared" ref="D111:D123" si="2">C111/B111-100%</f>
        <v>-0.1930403861</v>
      </c>
      <c r="G111" s="20" t="s">
        <v>273</v>
      </c>
      <c r="H111" s="20"/>
      <c r="I111" s="219">
        <v>378386.0</v>
      </c>
      <c r="J111" s="23"/>
    </row>
    <row r="112">
      <c r="A112" s="20" t="s">
        <v>274</v>
      </c>
      <c r="B112" s="238">
        <v>300.0</v>
      </c>
      <c r="C112" s="220">
        <v>309.0</v>
      </c>
      <c r="D112" s="155">
        <f t="shared" si="2"/>
        <v>0.03</v>
      </c>
      <c r="G112" s="20" t="s">
        <v>274</v>
      </c>
      <c r="H112" s="238"/>
      <c r="I112" s="220">
        <v>6121.0</v>
      </c>
      <c r="J112" s="155"/>
    </row>
    <row r="113">
      <c r="A113" s="20" t="s">
        <v>275</v>
      </c>
      <c r="B113" s="238">
        <v>7.62</v>
      </c>
      <c r="C113" s="220">
        <v>9.73</v>
      </c>
      <c r="D113" s="155">
        <f t="shared" si="2"/>
        <v>0.2769028871</v>
      </c>
      <c r="G113" s="20" t="s">
        <v>275</v>
      </c>
      <c r="H113" s="238"/>
      <c r="I113" s="220">
        <v>1.62</v>
      </c>
      <c r="J113" s="155"/>
    </row>
    <row r="114">
      <c r="A114" s="20" t="s">
        <v>276</v>
      </c>
      <c r="B114" s="238">
        <v>9780.0</v>
      </c>
      <c r="C114" s="220">
        <v>15900.0</v>
      </c>
      <c r="D114" s="155">
        <f t="shared" si="2"/>
        <v>0.6257668712</v>
      </c>
      <c r="G114" s="20" t="s">
        <v>276</v>
      </c>
      <c r="H114" s="238"/>
      <c r="I114" s="220">
        <v>10956.84</v>
      </c>
      <c r="J114" s="155"/>
    </row>
    <row r="115">
      <c r="A115" s="20" t="s">
        <v>277</v>
      </c>
      <c r="B115" s="238">
        <v>32.6</v>
      </c>
      <c r="C115" s="220">
        <v>51.46</v>
      </c>
      <c r="D115" s="155">
        <f t="shared" si="2"/>
        <v>0.5785276074</v>
      </c>
      <c r="G115" s="20" t="s">
        <v>277</v>
      </c>
      <c r="H115" s="238"/>
      <c r="I115" s="220">
        <v>1.79</v>
      </c>
      <c r="J115" s="155"/>
    </row>
    <row r="116">
      <c r="A116" s="20" t="s">
        <v>278</v>
      </c>
      <c r="B116" s="239">
        <v>4.16</v>
      </c>
      <c r="C116" s="219">
        <v>4.03</v>
      </c>
      <c r="D116" s="23">
        <f t="shared" si="2"/>
        <v>-0.03125</v>
      </c>
      <c r="G116" s="20" t="s">
        <v>279</v>
      </c>
      <c r="H116" s="238"/>
      <c r="I116" s="220">
        <v>4.51</v>
      </c>
      <c r="J116" s="155"/>
    </row>
    <row r="117">
      <c r="A117" s="20" t="s">
        <v>279</v>
      </c>
      <c r="B117" s="238">
        <v>71.67</v>
      </c>
      <c r="C117" s="220">
        <v>83.17</v>
      </c>
      <c r="D117" s="155">
        <f t="shared" si="2"/>
        <v>0.1604576531</v>
      </c>
      <c r="G117" s="20" t="s">
        <v>281</v>
      </c>
      <c r="H117" s="238"/>
      <c r="I117" s="220">
        <v>276.0</v>
      </c>
      <c r="J117" s="155"/>
    </row>
    <row r="118">
      <c r="A118" s="20" t="s">
        <v>280</v>
      </c>
      <c r="B118" s="238">
        <v>45.49</v>
      </c>
      <c r="C118" s="220">
        <v>61.87</v>
      </c>
      <c r="D118" s="155">
        <f t="shared" si="2"/>
        <v>0.3600791383</v>
      </c>
      <c r="G118" s="240" t="s">
        <v>528</v>
      </c>
      <c r="H118" s="241"/>
      <c r="I118" s="242">
        <v>39.7</v>
      </c>
      <c r="J118" s="243"/>
    </row>
    <row r="119">
      <c r="A119" s="20" t="s">
        <v>281</v>
      </c>
      <c r="B119" s="238">
        <v>215.0</v>
      </c>
      <c r="C119" s="220">
        <v>257.0</v>
      </c>
      <c r="D119" s="155">
        <f t="shared" si="2"/>
        <v>0.1953488372</v>
      </c>
    </row>
    <row r="120">
      <c r="A120" s="20" t="s">
        <v>529</v>
      </c>
      <c r="B120" s="239">
        <v>23.73</v>
      </c>
      <c r="C120" s="219">
        <v>18.37</v>
      </c>
      <c r="D120" s="23">
        <f t="shared" si="2"/>
        <v>-0.2258744206</v>
      </c>
      <c r="G120" s="156"/>
      <c r="H120" s="156"/>
      <c r="I120" s="153"/>
      <c r="J120" s="157"/>
    </row>
    <row r="121">
      <c r="A121" s="20" t="s">
        <v>530</v>
      </c>
      <c r="B121" s="238">
        <v>4.04</v>
      </c>
      <c r="C121" s="220">
        <v>5.16</v>
      </c>
      <c r="D121" s="155">
        <f t="shared" si="2"/>
        <v>0.2772277228</v>
      </c>
      <c r="G121" s="156"/>
      <c r="H121" s="156"/>
      <c r="I121" s="153"/>
      <c r="J121" s="157"/>
    </row>
    <row r="122">
      <c r="A122" s="20" t="s">
        <v>531</v>
      </c>
      <c r="B122" s="238">
        <v>241897.0</v>
      </c>
      <c r="C122" s="220">
        <v>308055.0</v>
      </c>
      <c r="D122" s="155">
        <f t="shared" si="2"/>
        <v>0.2734965709</v>
      </c>
    </row>
    <row r="123">
      <c r="A123" s="20" t="s">
        <v>532</v>
      </c>
      <c r="B123" s="238">
        <v>232117.0</v>
      </c>
      <c r="C123" s="220">
        <v>292155.0</v>
      </c>
      <c r="D123" s="155">
        <f t="shared" si="2"/>
        <v>0.2586540409</v>
      </c>
      <c r="G123" s="156"/>
      <c r="H123" s="156"/>
      <c r="I123" s="153"/>
      <c r="J123" s="157"/>
    </row>
    <row r="128">
      <c r="I128" s="244"/>
    </row>
    <row r="165">
      <c r="A165" s="24"/>
      <c r="B165" s="71" t="s">
        <v>553</v>
      </c>
      <c r="C165" s="71" t="s">
        <v>554</v>
      </c>
      <c r="D165" s="71" t="s">
        <v>555</v>
      </c>
      <c r="E165" s="71" t="s">
        <v>556</v>
      </c>
      <c r="F165" s="71" t="s">
        <v>557</v>
      </c>
      <c r="G165" s="71" t="s">
        <v>558</v>
      </c>
    </row>
    <row r="166">
      <c r="A166" s="245" t="s">
        <v>67</v>
      </c>
      <c r="B166" s="246">
        <v>233680.0</v>
      </c>
      <c r="C166" s="247">
        <v>11406.0</v>
      </c>
      <c r="D166" s="246">
        <v>480.0</v>
      </c>
      <c r="E166" s="248">
        <v>251.38</v>
      </c>
      <c r="F166" s="248">
        <v>792545.0</v>
      </c>
      <c r="G166" s="248">
        <v>120663.03</v>
      </c>
    </row>
    <row r="167">
      <c r="A167" s="71" t="s">
        <v>559</v>
      </c>
      <c r="B167" s="249">
        <v>217952.0</v>
      </c>
      <c r="C167" s="250">
        <v>14289.0</v>
      </c>
      <c r="D167" s="249">
        <v>418.0</v>
      </c>
      <c r="E167" s="251">
        <v>206.97</v>
      </c>
      <c r="F167" s="251">
        <v>719602.0</v>
      </c>
      <c r="G167" s="251">
        <v>86512.3</v>
      </c>
    </row>
    <row r="170">
      <c r="A170" s="159" t="s">
        <v>560</v>
      </c>
    </row>
    <row r="198">
      <c r="A198" s="153" t="s">
        <v>561</v>
      </c>
    </row>
  </sheetData>
  <mergeCells count="6">
    <mergeCell ref="K2:M5"/>
    <mergeCell ref="J58:L62"/>
    <mergeCell ref="A92:D93"/>
    <mergeCell ref="A108:D109"/>
    <mergeCell ref="G108:J109"/>
    <mergeCell ref="A170:H19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6.75"/>
    <col customWidth="1" min="4" max="4" width="25.63"/>
  </cols>
  <sheetData>
    <row r="1">
      <c r="A1" s="152" t="s">
        <v>506</v>
      </c>
      <c r="B1" s="152" t="s">
        <v>507</v>
      </c>
      <c r="C1" s="152" t="s">
        <v>508</v>
      </c>
      <c r="D1" s="152" t="s">
        <v>509</v>
      </c>
      <c r="F1" s="217"/>
      <c r="G1" s="252" t="s">
        <v>562</v>
      </c>
      <c r="H1" s="28"/>
    </row>
    <row r="2">
      <c r="A2" s="208">
        <v>45808.0</v>
      </c>
      <c r="B2" s="152" t="s">
        <v>563</v>
      </c>
      <c r="C2" s="152" t="s">
        <v>564</v>
      </c>
      <c r="D2" s="152" t="s">
        <v>565</v>
      </c>
      <c r="F2" s="152" t="s">
        <v>16</v>
      </c>
      <c r="G2" s="152">
        <v>10.0</v>
      </c>
      <c r="H2" s="217"/>
    </row>
    <row r="3">
      <c r="A3" s="208">
        <v>45808.0</v>
      </c>
      <c r="B3" s="152" t="s">
        <v>566</v>
      </c>
      <c r="C3" s="152" t="s">
        <v>564</v>
      </c>
      <c r="D3" s="152" t="s">
        <v>565</v>
      </c>
      <c r="F3" s="152" t="s">
        <v>567</v>
      </c>
      <c r="G3" s="152">
        <v>5.0</v>
      </c>
      <c r="H3" s="217"/>
    </row>
    <row r="6">
      <c r="A6" s="167" t="s">
        <v>568</v>
      </c>
    </row>
  </sheetData>
  <mergeCells count="2">
    <mergeCell ref="G1:H1"/>
    <mergeCell ref="A6:D12"/>
  </mergeCells>
  <drawing r:id="rId1"/>
</worksheet>
</file>