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1B31A023-7E07-4033-9D5F-3A739540BC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mmulative Summary" sheetId="1" r:id="rId1"/>
    <sheet name="FM Cost-incl Utility" sheetId="2" r:id="rId2"/>
    <sheet name="FM Cost-excl Utility" sheetId="3" r:id="rId3"/>
    <sheet name="CAM-Jun`23" sheetId="4" r:id="rId4"/>
    <sheet name="Tenant CAM-Jun`23" sheetId="5" r:id="rId5"/>
    <sheet name="CAM-Jul`23" sheetId="6" r:id="rId6"/>
    <sheet name="Tenant CAM-Jul`23" sheetId="7" r:id="rId7"/>
    <sheet name="CAM-Aug`23" sheetId="8" r:id="rId8"/>
    <sheet name="Tenant CAM-Aug`23" sheetId="9" r:id="rId9"/>
    <sheet name="CAM-Sep`23" sheetId="10" r:id="rId10"/>
    <sheet name="Tenant CAM-Sep`23" sheetId="11" r:id="rId11"/>
    <sheet name="CAM-Oct`23" sheetId="12" r:id="rId12"/>
    <sheet name="Tenant CAM-Oct`23" sheetId="13" r:id="rId13"/>
    <sheet name="CAM-Nov`23" sheetId="14" r:id="rId14"/>
    <sheet name="Tenant CAM-Nov`23" sheetId="15" r:id="rId15"/>
    <sheet name="CAM-Dec`23" sheetId="16" r:id="rId16"/>
    <sheet name="Tenant CAM-Dec`23" sheetId="17" r:id="rId17"/>
    <sheet name="CAM-Jan`24" sheetId="18" r:id="rId18"/>
    <sheet name="Tenant CAM-Jan`24" sheetId="19" r:id="rId19"/>
    <sheet name="CAM-Feb`24" sheetId="20" r:id="rId20"/>
    <sheet name="Tenant CAM-Feb`24" sheetId="21" r:id="rId21"/>
    <sheet name="CAM-Mar`24" sheetId="22" r:id="rId22"/>
    <sheet name="Tenant CAM-Mar`24" sheetId="23" r:id="rId23"/>
    <sheet name="CAM-Apr`24" sheetId="24" r:id="rId24"/>
    <sheet name="Tenant CAM-Apr`24" sheetId="25" r:id="rId25"/>
    <sheet name="CAM-May`24" sheetId="26" r:id="rId26"/>
    <sheet name="Tenant CAM-May`24" sheetId="27" r:id="rId27"/>
    <sheet name="CAM-Jun`24" sheetId="28" r:id="rId28"/>
    <sheet name="Tenant CAM-Jun`24" sheetId="29" r:id="rId29"/>
    <sheet name="CAM-Jul`24" sheetId="30" r:id="rId30"/>
    <sheet name="Tenant CAM-Jul`24" sheetId="31" r:id="rId31"/>
    <sheet name="CAM-Aug`24" sheetId="32" r:id="rId32"/>
    <sheet name="Tenant CAM-Aug`24" sheetId="33" r:id="rId33"/>
    <sheet name="CAM-Sep`24" sheetId="34" r:id="rId34"/>
    <sheet name="Tenant CAM-Sep`24" sheetId="35" r:id="rId35"/>
    <sheet name="CAM-Oct`24" sheetId="36" r:id="rId36"/>
    <sheet name="Tenant CAM-Oct`24" sheetId="37" r:id="rId37"/>
    <sheet name="CAM-Nov`24" sheetId="38" r:id="rId38"/>
    <sheet name="Tenant CAM-Nov`24" sheetId="39" r:id="rId39"/>
    <sheet name="CAM-Dec2024" sheetId="40" r:id="rId40"/>
    <sheet name="CAM-Jan2025" sheetId="41" r:id="rId41"/>
    <sheet name="CAM-Feb2025" sheetId="42" r:id="rId42"/>
    <sheet name="CAM-Mar2025" sheetId="43" r:id="rId43"/>
    <sheet name="CAM-Apr2025" sheetId="44" r:id="rId44"/>
    <sheet name="CAM-May2025" sheetId="45" r:id="rId45"/>
    <sheet name="CAM-Jun2025" sheetId="46" r:id="rId46"/>
    <sheet name="CAM-Jul2025" sheetId="47" r:id="rId47"/>
    <sheet name="CAM-Aug2025" sheetId="48" r:id="rId48"/>
    <sheet name="CAM-Sep2025" sheetId="49" r:id="rId49"/>
    <sheet name="CAM-Oct2025" sheetId="50" r:id="rId50"/>
    <sheet name="CAM-Nov2025" sheetId="51" r:id="rId51"/>
    <sheet name="Sheet1" sheetId="52" r:id="rId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6" roundtripDataChecksum="IbYi40FzUFfVqUIRQHyC5d1Gdub5O7RJiVeVyBrOGCI="/>
    </ext>
  </extLst>
</workbook>
</file>

<file path=xl/calcChain.xml><?xml version="1.0" encoding="utf-8"?>
<calcChain xmlns="http://schemas.openxmlformats.org/spreadsheetml/2006/main">
  <c r="C83" i="51" l="1"/>
  <c r="C80" i="51"/>
  <c r="C76" i="51"/>
  <c r="F75" i="51"/>
  <c r="F73" i="51"/>
  <c r="C71" i="51"/>
  <c r="C62" i="51"/>
  <c r="C52" i="51"/>
  <c r="C11" i="51" s="1"/>
  <c r="C44" i="51"/>
  <c r="E33" i="51"/>
  <c r="D29" i="51"/>
  <c r="D28" i="51"/>
  <c r="G21" i="51"/>
  <c r="D21" i="51"/>
  <c r="I20" i="51"/>
  <c r="H20" i="51"/>
  <c r="D20" i="51"/>
  <c r="G18" i="51"/>
  <c r="I18" i="51" s="1"/>
  <c r="D18" i="51"/>
  <c r="C18" i="51"/>
  <c r="H18" i="51" s="1"/>
  <c r="J18" i="51" s="1"/>
  <c r="I17" i="51"/>
  <c r="H17" i="51"/>
  <c r="J17" i="51" s="1"/>
  <c r="C17" i="51"/>
  <c r="I16" i="51"/>
  <c r="H16" i="51"/>
  <c r="J16" i="51" s="1"/>
  <c r="C16" i="51"/>
  <c r="D15" i="51"/>
  <c r="G15" i="51" s="1"/>
  <c r="H15" i="51" s="1"/>
  <c r="J15" i="51" s="1"/>
  <c r="F14" i="51"/>
  <c r="G14" i="51" s="1"/>
  <c r="I14" i="51" s="1"/>
  <c r="E14" i="51"/>
  <c r="D14" i="51"/>
  <c r="C14" i="51"/>
  <c r="H14" i="51" s="1"/>
  <c r="J14" i="51" s="1"/>
  <c r="F13" i="51"/>
  <c r="G13" i="51" s="1"/>
  <c r="E13" i="51"/>
  <c r="D13" i="51"/>
  <c r="D12" i="51"/>
  <c r="C12" i="51"/>
  <c r="I11" i="51"/>
  <c r="D10" i="51"/>
  <c r="G10" i="51" s="1"/>
  <c r="I10" i="51" s="1"/>
  <c r="C10" i="51"/>
  <c r="H10" i="51" s="1"/>
  <c r="J10" i="51" s="1"/>
  <c r="H9" i="51"/>
  <c r="J9" i="51" s="1"/>
  <c r="G9" i="51"/>
  <c r="I9" i="51" s="1"/>
  <c r="D9" i="51"/>
  <c r="D8" i="51"/>
  <c r="E7" i="51"/>
  <c r="F7" i="51" s="1"/>
  <c r="G7" i="51" s="1"/>
  <c r="D7" i="51"/>
  <c r="G6" i="51"/>
  <c r="D6" i="51"/>
  <c r="C6" i="51"/>
  <c r="H6" i="51" s="1"/>
  <c r="H4" i="51"/>
  <c r="C85" i="50"/>
  <c r="C82" i="50"/>
  <c r="C78" i="50"/>
  <c r="C73" i="50"/>
  <c r="C17" i="50" s="1"/>
  <c r="H17" i="50" s="1"/>
  <c r="J17" i="50" s="1"/>
  <c r="C62" i="50"/>
  <c r="C52" i="50"/>
  <c r="C44" i="50"/>
  <c r="H38" i="50"/>
  <c r="E33" i="50"/>
  <c r="D29" i="50"/>
  <c r="D28" i="50"/>
  <c r="D21" i="50"/>
  <c r="G21" i="50" s="1"/>
  <c r="I20" i="50"/>
  <c r="H20" i="50"/>
  <c r="D20" i="50"/>
  <c r="D18" i="50"/>
  <c r="G18" i="50" s="1"/>
  <c r="I18" i="50" s="1"/>
  <c r="C18" i="50"/>
  <c r="H18" i="50" s="1"/>
  <c r="J18" i="50" s="1"/>
  <c r="I17" i="50"/>
  <c r="I16" i="50"/>
  <c r="H16" i="50"/>
  <c r="J16" i="50" s="1"/>
  <c r="C16" i="50"/>
  <c r="H15" i="50"/>
  <c r="J15" i="50" s="1"/>
  <c r="G15" i="50"/>
  <c r="I15" i="50" s="1"/>
  <c r="D15" i="50"/>
  <c r="I14" i="50"/>
  <c r="E14" i="50"/>
  <c r="F14" i="50" s="1"/>
  <c r="G14" i="50" s="1"/>
  <c r="H14" i="50" s="1"/>
  <c r="J14" i="50" s="1"/>
  <c r="D14" i="50"/>
  <c r="C14" i="50"/>
  <c r="I13" i="50"/>
  <c r="E13" i="50"/>
  <c r="F13" i="50" s="1"/>
  <c r="G13" i="50" s="1"/>
  <c r="H13" i="50" s="1"/>
  <c r="J13" i="50" s="1"/>
  <c r="D13" i="50"/>
  <c r="H12" i="50"/>
  <c r="J12" i="50" s="1"/>
  <c r="D12" i="50"/>
  <c r="C12" i="50"/>
  <c r="E12" i="50" s="1"/>
  <c r="F12" i="50" s="1"/>
  <c r="G12" i="50" s="1"/>
  <c r="I12" i="50" s="1"/>
  <c r="I11" i="50"/>
  <c r="H11" i="50"/>
  <c r="J11" i="50" s="1"/>
  <c r="D11" i="50"/>
  <c r="C11" i="50"/>
  <c r="C10" i="50"/>
  <c r="G9" i="50"/>
  <c r="I9" i="50" s="1"/>
  <c r="D9" i="50"/>
  <c r="D8" i="50"/>
  <c r="C8" i="50"/>
  <c r="E8" i="50" s="1"/>
  <c r="F8" i="50" s="1"/>
  <c r="G8" i="50" s="1"/>
  <c r="H7" i="50"/>
  <c r="J7" i="50" s="1"/>
  <c r="E7" i="50"/>
  <c r="F7" i="50" s="1"/>
  <c r="G7" i="50" s="1"/>
  <c r="I7" i="50" s="1"/>
  <c r="D7" i="50"/>
  <c r="G6" i="50"/>
  <c r="D6" i="50"/>
  <c r="C6" i="50"/>
  <c r="H4" i="50"/>
  <c r="J20" i="50" s="1"/>
  <c r="C84" i="49"/>
  <c r="C81" i="49"/>
  <c r="C77" i="49"/>
  <c r="C72" i="49"/>
  <c r="C17" i="49" s="1"/>
  <c r="C55" i="49"/>
  <c r="C48" i="49"/>
  <c r="C43" i="49"/>
  <c r="E33" i="49"/>
  <c r="C16" i="49" s="1"/>
  <c r="D29" i="49"/>
  <c r="D28" i="49"/>
  <c r="I21" i="49"/>
  <c r="D21" i="49"/>
  <c r="G21" i="49" s="1"/>
  <c r="H21" i="49" s="1"/>
  <c r="J21" i="49" s="1"/>
  <c r="J20" i="49"/>
  <c r="I20" i="49"/>
  <c r="H20" i="49"/>
  <c r="D20" i="49"/>
  <c r="C18" i="49"/>
  <c r="I17" i="49"/>
  <c r="I16" i="49"/>
  <c r="D15" i="49"/>
  <c r="G15" i="49" s="1"/>
  <c r="H15" i="49" s="1"/>
  <c r="J15" i="49" s="1"/>
  <c r="J14" i="49"/>
  <c r="F14" i="49"/>
  <c r="G14" i="49" s="1"/>
  <c r="I14" i="49" s="1"/>
  <c r="E14" i="49"/>
  <c r="C14" i="49"/>
  <c r="H14" i="49" s="1"/>
  <c r="F13" i="49"/>
  <c r="G13" i="49" s="1"/>
  <c r="E13" i="49"/>
  <c r="D13" i="49"/>
  <c r="I12" i="49"/>
  <c r="E12" i="49"/>
  <c r="F12" i="49" s="1"/>
  <c r="G12" i="49" s="1"/>
  <c r="H12" i="49" s="1"/>
  <c r="J12" i="49" s="1"/>
  <c r="D12" i="49"/>
  <c r="C12" i="49"/>
  <c r="I11" i="49"/>
  <c r="H11" i="49"/>
  <c r="J11" i="49" s="1"/>
  <c r="D11" i="49"/>
  <c r="C11" i="49"/>
  <c r="D10" i="49"/>
  <c r="G10" i="49" s="1"/>
  <c r="I10" i="49" s="1"/>
  <c r="C10" i="49"/>
  <c r="H9" i="49"/>
  <c r="J9" i="49" s="1"/>
  <c r="G9" i="49"/>
  <c r="I9" i="49" s="1"/>
  <c r="D9" i="49"/>
  <c r="E8" i="49"/>
  <c r="F8" i="49" s="1"/>
  <c r="G8" i="49" s="1"/>
  <c r="H8" i="49" s="1"/>
  <c r="J8" i="49" s="1"/>
  <c r="D8" i="49"/>
  <c r="H7" i="49"/>
  <c r="J7" i="49" s="1"/>
  <c r="E7" i="49"/>
  <c r="F7" i="49" s="1"/>
  <c r="G7" i="49" s="1"/>
  <c r="I7" i="49" s="1"/>
  <c r="D7" i="49"/>
  <c r="G6" i="49"/>
  <c r="D6" i="49"/>
  <c r="C6" i="49"/>
  <c r="H4" i="49"/>
  <c r="C77" i="48"/>
  <c r="C74" i="48"/>
  <c r="C70" i="48"/>
  <c r="C64" i="48"/>
  <c r="C17" i="48" s="1"/>
  <c r="H17" i="48" s="1"/>
  <c r="J17" i="48" s="1"/>
  <c r="C55" i="48"/>
  <c r="C49" i="48"/>
  <c r="G46" i="48"/>
  <c r="C44" i="48"/>
  <c r="C10" i="48" s="1"/>
  <c r="D10" i="48" s="1"/>
  <c r="G10" i="48" s="1"/>
  <c r="I10" i="48" s="1"/>
  <c r="E33" i="48"/>
  <c r="D29" i="48"/>
  <c r="D28" i="48"/>
  <c r="D21" i="48"/>
  <c r="G21" i="48" s="1"/>
  <c r="I20" i="48"/>
  <c r="H20" i="48"/>
  <c r="D20" i="48"/>
  <c r="D18" i="48"/>
  <c r="G18" i="48" s="1"/>
  <c r="I18" i="48" s="1"/>
  <c r="C18" i="48"/>
  <c r="I17" i="48"/>
  <c r="I16" i="48"/>
  <c r="H16" i="48"/>
  <c r="J16" i="48" s="1"/>
  <c r="C16" i="48"/>
  <c r="H15" i="48"/>
  <c r="J15" i="48" s="1"/>
  <c r="G15" i="48"/>
  <c r="I15" i="48" s="1"/>
  <c r="D15" i="48"/>
  <c r="E14" i="48"/>
  <c r="F14" i="48" s="1"/>
  <c r="G14" i="48" s="1"/>
  <c r="H14" i="48" s="1"/>
  <c r="J14" i="48" s="1"/>
  <c r="D14" i="48"/>
  <c r="H13" i="48"/>
  <c r="J13" i="48" s="1"/>
  <c r="E13" i="48"/>
  <c r="F13" i="48" s="1"/>
  <c r="G13" i="48" s="1"/>
  <c r="I13" i="48" s="1"/>
  <c r="D13" i="48"/>
  <c r="C12" i="48"/>
  <c r="J11" i="48"/>
  <c r="I11" i="48"/>
  <c r="C11" i="48"/>
  <c r="H11" i="48" s="1"/>
  <c r="H10" i="48"/>
  <c r="J10" i="48" s="1"/>
  <c r="D9" i="48"/>
  <c r="G9" i="48" s="1"/>
  <c r="I9" i="48" s="1"/>
  <c r="F8" i="48"/>
  <c r="G8" i="48" s="1"/>
  <c r="E8" i="48"/>
  <c r="D8" i="48"/>
  <c r="F7" i="48"/>
  <c r="G7" i="48" s="1"/>
  <c r="E7" i="48"/>
  <c r="D7" i="48"/>
  <c r="C6" i="48"/>
  <c r="H4" i="48"/>
  <c r="C81" i="47"/>
  <c r="C78" i="47"/>
  <c r="C74" i="47"/>
  <c r="C65" i="47"/>
  <c r="C69" i="47" s="1"/>
  <c r="C17" i="47" s="1"/>
  <c r="H17" i="47" s="1"/>
  <c r="C56" i="47"/>
  <c r="C13" i="47" s="1"/>
  <c r="C50" i="47"/>
  <c r="C11" i="47" s="1"/>
  <c r="D11" i="47" s="1"/>
  <c r="C44" i="47"/>
  <c r="E33" i="47"/>
  <c r="D29" i="47"/>
  <c r="E7" i="47" s="1"/>
  <c r="F7" i="47" s="1"/>
  <c r="D28" i="47"/>
  <c r="E12" i="47" s="1"/>
  <c r="F12" i="47" s="1"/>
  <c r="G12" i="47" s="1"/>
  <c r="H21" i="47"/>
  <c r="G21" i="47"/>
  <c r="I21" i="47" s="1"/>
  <c r="D21" i="47"/>
  <c r="I20" i="47"/>
  <c r="H20" i="47"/>
  <c r="D20" i="47"/>
  <c r="C18" i="47"/>
  <c r="D18" i="47" s="1"/>
  <c r="G18" i="47" s="1"/>
  <c r="J17" i="47"/>
  <c r="I17" i="47"/>
  <c r="I16" i="47"/>
  <c r="H16" i="47"/>
  <c r="C16" i="47"/>
  <c r="D15" i="47"/>
  <c r="G15" i="47" s="1"/>
  <c r="D14" i="47"/>
  <c r="C14" i="47"/>
  <c r="I13" i="47"/>
  <c r="H13" i="47"/>
  <c r="J13" i="47" s="1"/>
  <c r="E13" i="47"/>
  <c r="F13" i="47" s="1"/>
  <c r="G13" i="47" s="1"/>
  <c r="D13" i="47"/>
  <c r="I12" i="47"/>
  <c r="H12" i="47"/>
  <c r="J12" i="47" s="1"/>
  <c r="D12" i="47"/>
  <c r="I11" i="47"/>
  <c r="H11" i="47"/>
  <c r="J11" i="47" s="1"/>
  <c r="C10" i="47"/>
  <c r="D10" i="47" s="1"/>
  <c r="G10" i="47" s="1"/>
  <c r="I10" i="47" s="1"/>
  <c r="D9" i="47"/>
  <c r="G9" i="47" s="1"/>
  <c r="I9" i="47" s="1"/>
  <c r="C8" i="47"/>
  <c r="H7" i="47"/>
  <c r="J7" i="47" s="1"/>
  <c r="G7" i="47"/>
  <c r="I7" i="47" s="1"/>
  <c r="D7" i="47"/>
  <c r="G6" i="47"/>
  <c r="D6" i="47"/>
  <c r="C6" i="47"/>
  <c r="H4" i="47"/>
  <c r="J16" i="47" s="1"/>
  <c r="C81" i="46"/>
  <c r="C18" i="46" s="1"/>
  <c r="C78" i="46"/>
  <c r="C74" i="46"/>
  <c r="C69" i="46"/>
  <c r="C17" i="46" s="1"/>
  <c r="H17" i="46" s="1"/>
  <c r="J17" i="46" s="1"/>
  <c r="C63" i="46"/>
  <c r="C55" i="46"/>
  <c r="C50" i="46"/>
  <c r="C44" i="46"/>
  <c r="C10" i="46" s="1"/>
  <c r="C39" i="46"/>
  <c r="E33" i="46"/>
  <c r="D29" i="46"/>
  <c r="D28" i="46"/>
  <c r="D21" i="46"/>
  <c r="G21" i="46" s="1"/>
  <c r="I20" i="46"/>
  <c r="H20" i="46"/>
  <c r="D20" i="46"/>
  <c r="D18" i="46"/>
  <c r="G18" i="46" s="1"/>
  <c r="I18" i="46" s="1"/>
  <c r="I17" i="46"/>
  <c r="I16" i="46"/>
  <c r="H16" i="46"/>
  <c r="J16" i="46" s="1"/>
  <c r="C16" i="46"/>
  <c r="I15" i="46"/>
  <c r="D15" i="46"/>
  <c r="G15" i="46" s="1"/>
  <c r="H15" i="46" s="1"/>
  <c r="J15" i="46" s="1"/>
  <c r="J14" i="46"/>
  <c r="I14" i="46"/>
  <c r="E14" i="46"/>
  <c r="F14" i="46" s="1"/>
  <c r="G14" i="46" s="1"/>
  <c r="C14" i="46"/>
  <c r="H14" i="46" s="1"/>
  <c r="E13" i="46"/>
  <c r="F13" i="46" s="1"/>
  <c r="G13" i="46" s="1"/>
  <c r="D13" i="46"/>
  <c r="E12" i="46"/>
  <c r="F12" i="46" s="1"/>
  <c r="G12" i="46" s="1"/>
  <c r="D12" i="46"/>
  <c r="C12" i="46"/>
  <c r="I11" i="46"/>
  <c r="H11" i="46"/>
  <c r="J11" i="46" s="1"/>
  <c r="D11" i="46"/>
  <c r="C11" i="46"/>
  <c r="D10" i="46"/>
  <c r="G10" i="46" s="1"/>
  <c r="I10" i="46" s="1"/>
  <c r="H9" i="46"/>
  <c r="J9" i="46" s="1"/>
  <c r="G9" i="46"/>
  <c r="I9" i="46" s="1"/>
  <c r="D9" i="46"/>
  <c r="E8" i="46"/>
  <c r="F8" i="46" s="1"/>
  <c r="G8" i="46" s="1"/>
  <c r="D8" i="46"/>
  <c r="G7" i="46"/>
  <c r="I7" i="46" s="1"/>
  <c r="F7" i="46"/>
  <c r="E7" i="46"/>
  <c r="D7" i="46"/>
  <c r="G6" i="46"/>
  <c r="D6" i="46"/>
  <c r="C6" i="46"/>
  <c r="H4" i="46"/>
  <c r="C83" i="45"/>
  <c r="C18" i="45" s="1"/>
  <c r="C80" i="45"/>
  <c r="C76" i="45"/>
  <c r="E71" i="45"/>
  <c r="C71" i="45"/>
  <c r="C17" i="45" s="1"/>
  <c r="C55" i="45"/>
  <c r="C50" i="45"/>
  <c r="C44" i="45"/>
  <c r="C10" i="45" s="1"/>
  <c r="E33" i="45"/>
  <c r="D29" i="45"/>
  <c r="D28" i="45"/>
  <c r="J21" i="45"/>
  <c r="I21" i="45"/>
  <c r="D21" i="45"/>
  <c r="G21" i="45" s="1"/>
  <c r="H21" i="45" s="1"/>
  <c r="J20" i="45"/>
  <c r="I20" i="45"/>
  <c r="H20" i="45"/>
  <c r="D20" i="45"/>
  <c r="I17" i="45"/>
  <c r="H17" i="45"/>
  <c r="J17" i="45" s="1"/>
  <c r="I16" i="45"/>
  <c r="C16" i="45"/>
  <c r="H16" i="45" s="1"/>
  <c r="J16" i="45" s="1"/>
  <c r="G15" i="45"/>
  <c r="I15" i="45" s="1"/>
  <c r="D15" i="45"/>
  <c r="I14" i="45"/>
  <c r="E14" i="45"/>
  <c r="F14" i="45" s="1"/>
  <c r="G14" i="45" s="1"/>
  <c r="H14" i="45" s="1"/>
  <c r="J14" i="45" s="1"/>
  <c r="D14" i="45"/>
  <c r="C14" i="45"/>
  <c r="I13" i="45"/>
  <c r="H13" i="45"/>
  <c r="J13" i="45" s="1"/>
  <c r="D13" i="45"/>
  <c r="I12" i="45"/>
  <c r="E12" i="45"/>
  <c r="F12" i="45" s="1"/>
  <c r="G12" i="45" s="1"/>
  <c r="H12" i="45" s="1"/>
  <c r="J12" i="45" s="1"/>
  <c r="D12" i="45"/>
  <c r="C12" i="45"/>
  <c r="I11" i="45"/>
  <c r="H11" i="45"/>
  <c r="J11" i="45" s="1"/>
  <c r="C11" i="45"/>
  <c r="D11" i="45" s="1"/>
  <c r="H9" i="45"/>
  <c r="J9" i="45" s="1"/>
  <c r="G9" i="45"/>
  <c r="I9" i="45" s="1"/>
  <c r="D9" i="45"/>
  <c r="I8" i="45"/>
  <c r="H8" i="45"/>
  <c r="J8" i="45" s="1"/>
  <c r="E8" i="45"/>
  <c r="F8" i="45" s="1"/>
  <c r="G8" i="45" s="1"/>
  <c r="D8" i="45"/>
  <c r="G7" i="45"/>
  <c r="I7" i="45" s="1"/>
  <c r="E7" i="45"/>
  <c r="F7" i="45" s="1"/>
  <c r="D7" i="45"/>
  <c r="G6" i="45"/>
  <c r="D6" i="45"/>
  <c r="C6" i="45"/>
  <c r="H4" i="45"/>
  <c r="C78" i="44"/>
  <c r="C75" i="44"/>
  <c r="C71" i="44"/>
  <c r="C66" i="44"/>
  <c r="C17" i="44" s="1"/>
  <c r="H17" i="44" s="1"/>
  <c r="J17" i="44" s="1"/>
  <c r="C55" i="44"/>
  <c r="C49" i="44"/>
  <c r="C43" i="44"/>
  <c r="E33" i="44"/>
  <c r="C16" i="44" s="1"/>
  <c r="H16" i="44" s="1"/>
  <c r="J16" i="44" s="1"/>
  <c r="D29" i="44"/>
  <c r="D28" i="44"/>
  <c r="I21" i="44"/>
  <c r="H21" i="44"/>
  <c r="J21" i="44" s="1"/>
  <c r="D21" i="44"/>
  <c r="G21" i="44" s="1"/>
  <c r="J20" i="44"/>
  <c r="I20" i="44"/>
  <c r="H20" i="44"/>
  <c r="D20" i="44"/>
  <c r="I18" i="44"/>
  <c r="C18" i="44"/>
  <c r="D18" i="44" s="1"/>
  <c r="G18" i="44" s="1"/>
  <c r="I17" i="44"/>
  <c r="I16" i="44"/>
  <c r="D15" i="44"/>
  <c r="G15" i="44" s="1"/>
  <c r="C14" i="44"/>
  <c r="I13" i="44"/>
  <c r="H13" i="44"/>
  <c r="D13" i="44"/>
  <c r="H12" i="44"/>
  <c r="J12" i="44" s="1"/>
  <c r="G12" i="44"/>
  <c r="I12" i="44" s="1"/>
  <c r="C12" i="44"/>
  <c r="E12" i="44" s="1"/>
  <c r="F12" i="44" s="1"/>
  <c r="I11" i="44"/>
  <c r="H11" i="44"/>
  <c r="J11" i="44" s="1"/>
  <c r="D11" i="44"/>
  <c r="C11" i="44"/>
  <c r="I10" i="44"/>
  <c r="H10" i="44"/>
  <c r="J10" i="44" s="1"/>
  <c r="C10" i="44"/>
  <c r="D10" i="44" s="1"/>
  <c r="G10" i="44" s="1"/>
  <c r="D9" i="44"/>
  <c r="G9" i="44" s="1"/>
  <c r="I9" i="44" s="1"/>
  <c r="E8" i="44"/>
  <c r="F8" i="44" s="1"/>
  <c r="G8" i="44" s="1"/>
  <c r="D8" i="44"/>
  <c r="F7" i="44"/>
  <c r="G7" i="44" s="1"/>
  <c r="E7" i="44"/>
  <c r="D7" i="44"/>
  <c r="D6" i="44"/>
  <c r="C6" i="44"/>
  <c r="H4" i="44"/>
  <c r="C81" i="43"/>
  <c r="C82" i="43" s="1"/>
  <c r="C18" i="43" s="1"/>
  <c r="C75" i="43"/>
  <c r="C70" i="43"/>
  <c r="C57" i="43"/>
  <c r="C50" i="43"/>
  <c r="C11" i="43" s="1"/>
  <c r="D11" i="43" s="1"/>
  <c r="C44" i="43"/>
  <c r="E33" i="43"/>
  <c r="D29" i="43"/>
  <c r="E7" i="43" s="1"/>
  <c r="F7" i="43" s="1"/>
  <c r="D28" i="43"/>
  <c r="E8" i="43" s="1"/>
  <c r="F8" i="43" s="1"/>
  <c r="G8" i="43" s="1"/>
  <c r="H8" i="43" s="1"/>
  <c r="G21" i="43"/>
  <c r="H21" i="43" s="1"/>
  <c r="D21" i="43"/>
  <c r="H20" i="43"/>
  <c r="D20" i="43"/>
  <c r="C17" i="43"/>
  <c r="H17" i="43" s="1"/>
  <c r="C16" i="43"/>
  <c r="H16" i="43" s="1"/>
  <c r="G15" i="43"/>
  <c r="H15" i="43" s="1"/>
  <c r="D15" i="43"/>
  <c r="C14" i="43"/>
  <c r="H13" i="43"/>
  <c r="D13" i="43"/>
  <c r="C12" i="43"/>
  <c r="C10" i="43"/>
  <c r="D10" i="43" s="1"/>
  <c r="G10" i="43" s="1"/>
  <c r="H10" i="43" s="1"/>
  <c r="G9" i="43"/>
  <c r="D9" i="43"/>
  <c r="D8" i="43"/>
  <c r="G7" i="43"/>
  <c r="H7" i="43" s="1"/>
  <c r="D7" i="43"/>
  <c r="C6" i="43"/>
  <c r="H4" i="43"/>
  <c r="H9" i="43" s="1"/>
  <c r="C77" i="42"/>
  <c r="C78" i="42" s="1"/>
  <c r="C18" i="42" s="1"/>
  <c r="C71" i="42"/>
  <c r="C14" i="42" s="1"/>
  <c r="C66" i="42"/>
  <c r="C60" i="42"/>
  <c r="C49" i="42"/>
  <c r="C11" i="42" s="1"/>
  <c r="D11" i="42" s="1"/>
  <c r="C44" i="42"/>
  <c r="C10" i="42" s="1"/>
  <c r="E33" i="42"/>
  <c r="D29" i="42"/>
  <c r="D28" i="42"/>
  <c r="E8" i="42" s="1"/>
  <c r="G21" i="42"/>
  <c r="H21" i="42" s="1"/>
  <c r="D21" i="42"/>
  <c r="H20" i="42"/>
  <c r="D20" i="42"/>
  <c r="D18" i="42"/>
  <c r="G18" i="42" s="1"/>
  <c r="C17" i="42"/>
  <c r="H17" i="42" s="1"/>
  <c r="H16" i="42"/>
  <c r="C16" i="42"/>
  <c r="G15" i="42"/>
  <c r="H15" i="42" s="1"/>
  <c r="D15" i="42"/>
  <c r="E14" i="42"/>
  <c r="F14" i="42" s="1"/>
  <c r="G14" i="42" s="1"/>
  <c r="H13" i="42"/>
  <c r="D13" i="42"/>
  <c r="E12" i="42"/>
  <c r="F12" i="42" s="1"/>
  <c r="G12" i="42" s="1"/>
  <c r="C12" i="42"/>
  <c r="H11" i="42"/>
  <c r="D10" i="42"/>
  <c r="G10" i="42" s="1"/>
  <c r="G9" i="42"/>
  <c r="D9" i="42"/>
  <c r="H9" i="42" s="1"/>
  <c r="C9" i="42"/>
  <c r="G8" i="42"/>
  <c r="H8" i="42" s="1"/>
  <c r="F8" i="42"/>
  <c r="D8" i="42"/>
  <c r="G7" i="42"/>
  <c r="H7" i="42" s="1"/>
  <c r="D7" i="42"/>
  <c r="C7" i="42"/>
  <c r="E7" i="42" s="1"/>
  <c r="F7" i="42" s="1"/>
  <c r="C6" i="42"/>
  <c r="H4" i="42"/>
  <c r="C83" i="41"/>
  <c r="C84" i="41" s="1"/>
  <c r="C18" i="41" s="1"/>
  <c r="C77" i="41"/>
  <c r="C72" i="41"/>
  <c r="C60" i="41"/>
  <c r="C51" i="41"/>
  <c r="C11" i="41" s="1"/>
  <c r="C40" i="41"/>
  <c r="C45" i="41" s="1"/>
  <c r="C10" i="41" s="1"/>
  <c r="E33" i="41"/>
  <c r="D29" i="41"/>
  <c r="D28" i="41"/>
  <c r="D21" i="41"/>
  <c r="G21" i="41" s="1"/>
  <c r="H21" i="41" s="1"/>
  <c r="H20" i="41"/>
  <c r="D20" i="41"/>
  <c r="H17" i="41"/>
  <c r="C17" i="41"/>
  <c r="C16" i="41"/>
  <c r="H16" i="41" s="1"/>
  <c r="H15" i="41"/>
  <c r="D15" i="41"/>
  <c r="G15" i="41" s="1"/>
  <c r="G14" i="41"/>
  <c r="H14" i="41" s="1"/>
  <c r="D14" i="41"/>
  <c r="C14" i="41"/>
  <c r="E14" i="41" s="1"/>
  <c r="F14" i="41" s="1"/>
  <c r="H13" i="41"/>
  <c r="D13" i="41"/>
  <c r="C12" i="41"/>
  <c r="E12" i="41" s="1"/>
  <c r="F12" i="41" s="1"/>
  <c r="G12" i="41" s="1"/>
  <c r="H9" i="41"/>
  <c r="C9" i="41"/>
  <c r="D9" i="41" s="1"/>
  <c r="G9" i="41" s="1"/>
  <c r="E8" i="41"/>
  <c r="F8" i="41" s="1"/>
  <c r="G8" i="41" s="1"/>
  <c r="H8" i="41" s="1"/>
  <c r="D8" i="41"/>
  <c r="F7" i="41"/>
  <c r="G7" i="41" s="1"/>
  <c r="E7" i="41"/>
  <c r="C7" i="41"/>
  <c r="H7" i="41" s="1"/>
  <c r="H6" i="41"/>
  <c r="G6" i="41"/>
  <c r="C6" i="41"/>
  <c r="D6" i="41" s="1"/>
  <c r="H4" i="41"/>
  <c r="C85" i="40"/>
  <c r="C80" i="40"/>
  <c r="C81" i="40" s="1"/>
  <c r="C74" i="40"/>
  <c r="C69" i="40"/>
  <c r="C52" i="40"/>
  <c r="C44" i="40"/>
  <c r="E33" i="40"/>
  <c r="C16" i="40" s="1"/>
  <c r="H16" i="40" s="1"/>
  <c r="D29" i="40"/>
  <c r="D28" i="40"/>
  <c r="D21" i="40"/>
  <c r="G21" i="40" s="1"/>
  <c r="H21" i="40" s="1"/>
  <c r="H20" i="40"/>
  <c r="D20" i="40"/>
  <c r="C18" i="40"/>
  <c r="D17" i="40"/>
  <c r="C17" i="40"/>
  <c r="G15" i="40"/>
  <c r="H15" i="40" s="1"/>
  <c r="D15" i="40"/>
  <c r="C14" i="40"/>
  <c r="H13" i="40"/>
  <c r="C13" i="40"/>
  <c r="D13" i="40" s="1"/>
  <c r="G12" i="40"/>
  <c r="H12" i="40" s="1"/>
  <c r="D12" i="40"/>
  <c r="C12" i="40"/>
  <c r="E12" i="40" s="1"/>
  <c r="F12" i="40" s="1"/>
  <c r="C11" i="40"/>
  <c r="C9" i="40"/>
  <c r="D9" i="40" s="1"/>
  <c r="G9" i="40" s="1"/>
  <c r="H8" i="40"/>
  <c r="E8" i="40"/>
  <c r="F8" i="40" s="1"/>
  <c r="G8" i="40" s="1"/>
  <c r="D8" i="40"/>
  <c r="E7" i="40"/>
  <c r="F7" i="40" s="1"/>
  <c r="G7" i="40" s="1"/>
  <c r="C7" i="40"/>
  <c r="C6" i="40"/>
  <c r="D6" i="40" s="1"/>
  <c r="H4" i="40"/>
  <c r="H9" i="40" s="1"/>
  <c r="C158" i="39"/>
  <c r="C157" i="39"/>
  <c r="C156" i="39"/>
  <c r="C153" i="39"/>
  <c r="C147" i="39"/>
  <c r="C146" i="39"/>
  <c r="C145" i="39"/>
  <c r="C143" i="39"/>
  <c r="C138" i="39"/>
  <c r="C137" i="39"/>
  <c r="C132" i="39"/>
  <c r="C131" i="39"/>
  <c r="C130" i="39"/>
  <c r="C123" i="39"/>
  <c r="C126" i="39" s="1"/>
  <c r="C116" i="39"/>
  <c r="C115" i="39"/>
  <c r="C114" i="39"/>
  <c r="C113" i="39"/>
  <c r="C111" i="39"/>
  <c r="C110" i="39"/>
  <c r="C112" i="39" s="1"/>
  <c r="C108" i="39"/>
  <c r="C100" i="39"/>
  <c r="C98" i="39"/>
  <c r="C101" i="39" s="1"/>
  <c r="C104" i="39" s="1"/>
  <c r="C93" i="39"/>
  <c r="C95" i="39" s="1"/>
  <c r="C86" i="39"/>
  <c r="C78" i="39"/>
  <c r="C77" i="39"/>
  <c r="C88" i="39" s="1"/>
  <c r="C73" i="39"/>
  <c r="C63" i="39"/>
  <c r="C62" i="39"/>
  <c r="C61" i="39"/>
  <c r="C60" i="39"/>
  <c r="C59" i="39"/>
  <c r="C58" i="39"/>
  <c r="C65" i="39" s="1"/>
  <c r="C52" i="39"/>
  <c r="C50" i="39"/>
  <c r="C48" i="39"/>
  <c r="C44" i="39"/>
  <c r="C41" i="39"/>
  <c r="C40" i="39"/>
  <c r="C39" i="39"/>
  <c r="C37" i="39"/>
  <c r="C35" i="39"/>
  <c r="C34" i="39"/>
  <c r="C33" i="39"/>
  <c r="C21" i="39"/>
  <c r="C18" i="39"/>
  <c r="C22" i="39" s="1"/>
  <c r="C12" i="39"/>
  <c r="C11" i="39"/>
  <c r="C10" i="39"/>
  <c r="C9" i="39"/>
  <c r="C8" i="39"/>
  <c r="C6" i="39"/>
  <c r="C5" i="39"/>
  <c r="G5" i="39" s="1"/>
  <c r="C87" i="38"/>
  <c r="C82" i="38"/>
  <c r="C83" i="38" s="1"/>
  <c r="C18" i="38" s="1"/>
  <c r="C76" i="38"/>
  <c r="C71" i="38"/>
  <c r="C50" i="38"/>
  <c r="C13" i="38" s="1"/>
  <c r="H13" i="38" s="1"/>
  <c r="C46" i="38"/>
  <c r="C44" i="38"/>
  <c r="E33" i="38"/>
  <c r="C16" i="38" s="1"/>
  <c r="D29" i="38"/>
  <c r="E14" i="38" s="1"/>
  <c r="F14" i="38" s="1"/>
  <c r="G14" i="38" s="1"/>
  <c r="H14" i="38" s="1"/>
  <c r="D28" i="38"/>
  <c r="H21" i="38"/>
  <c r="G21" i="38"/>
  <c r="D21" i="38"/>
  <c r="H20" i="38"/>
  <c r="D20" i="38"/>
  <c r="H17" i="38"/>
  <c r="C17" i="38"/>
  <c r="D17" i="38" s="1"/>
  <c r="G17" i="38" s="1"/>
  <c r="H16" i="38"/>
  <c r="G15" i="38"/>
  <c r="H15" i="38" s="1"/>
  <c r="D15" i="38"/>
  <c r="D14" i="38"/>
  <c r="C14" i="38"/>
  <c r="C12" i="38"/>
  <c r="H11" i="38"/>
  <c r="D11" i="38"/>
  <c r="C11" i="38"/>
  <c r="G10" i="38"/>
  <c r="H10" i="38" s="1"/>
  <c r="D10" i="38"/>
  <c r="C10" i="38"/>
  <c r="H9" i="38"/>
  <c r="G9" i="38"/>
  <c r="D9" i="38"/>
  <c r="F8" i="38"/>
  <c r="G8" i="38" s="1"/>
  <c r="H8" i="38" s="1"/>
  <c r="E8" i="38"/>
  <c r="D8" i="38"/>
  <c r="C7" i="38"/>
  <c r="C6" i="38"/>
  <c r="D6" i="38" s="1"/>
  <c r="H4" i="38"/>
  <c r="C157" i="37"/>
  <c r="C156" i="37"/>
  <c r="C158" i="37" s="1"/>
  <c r="C153" i="37"/>
  <c r="C148" i="37"/>
  <c r="C147" i="37"/>
  <c r="C146" i="37"/>
  <c r="C145" i="37"/>
  <c r="C143" i="37"/>
  <c r="C138" i="37"/>
  <c r="C137" i="37"/>
  <c r="C132" i="37"/>
  <c r="C131" i="37"/>
  <c r="C130" i="37"/>
  <c r="C123" i="37"/>
  <c r="C118" i="37"/>
  <c r="C115" i="37"/>
  <c r="C114" i="37"/>
  <c r="C116" i="37" s="1"/>
  <c r="C113" i="37"/>
  <c r="C112" i="37"/>
  <c r="C111" i="37"/>
  <c r="C110" i="37"/>
  <c r="C108" i="37"/>
  <c r="C100" i="37"/>
  <c r="C98" i="37"/>
  <c r="C101" i="37" s="1"/>
  <c r="C104" i="37" s="1"/>
  <c r="C93" i="37"/>
  <c r="C88" i="37"/>
  <c r="C86" i="37"/>
  <c r="C78" i="37"/>
  <c r="C77" i="37"/>
  <c r="C73" i="37"/>
  <c r="C65" i="37"/>
  <c r="C62" i="37"/>
  <c r="C61" i="37"/>
  <c r="C60" i="37"/>
  <c r="C59" i="37"/>
  <c r="C58" i="37"/>
  <c r="C50" i="37"/>
  <c r="C48" i="37"/>
  <c r="C52" i="37" s="1"/>
  <c r="C42" i="37"/>
  <c r="C41" i="37"/>
  <c r="C40" i="37"/>
  <c r="C39" i="37"/>
  <c r="C37" i="37"/>
  <c r="C44" i="37" s="1"/>
  <c r="C34" i="37"/>
  <c r="C33" i="37"/>
  <c r="C35" i="37" s="1"/>
  <c r="C22" i="37"/>
  <c r="C21" i="37"/>
  <c r="C18" i="37"/>
  <c r="C12" i="37"/>
  <c r="C11" i="37"/>
  <c r="C10" i="37"/>
  <c r="C9" i="37"/>
  <c r="C8" i="37"/>
  <c r="C6" i="37"/>
  <c r="G5" i="37"/>
  <c r="C5" i="37"/>
  <c r="C83" i="36"/>
  <c r="C79" i="36"/>
  <c r="C78" i="36"/>
  <c r="C72" i="36"/>
  <c r="C67" i="36"/>
  <c r="C17" i="36" s="1"/>
  <c r="D17" i="36" s="1"/>
  <c r="C45" i="36"/>
  <c r="E33" i="36"/>
  <c r="D29" i="36"/>
  <c r="D28" i="36"/>
  <c r="G21" i="36"/>
  <c r="H21" i="36" s="1"/>
  <c r="D21" i="36"/>
  <c r="H20" i="36"/>
  <c r="D20" i="36"/>
  <c r="G18" i="36"/>
  <c r="H18" i="36" s="1"/>
  <c r="C18" i="36"/>
  <c r="D18" i="36" s="1"/>
  <c r="G17" i="36"/>
  <c r="H17" i="36" s="1"/>
  <c r="H16" i="36"/>
  <c r="C16" i="36"/>
  <c r="C15" i="36"/>
  <c r="F14" i="36"/>
  <c r="G14" i="36" s="1"/>
  <c r="H14" i="36" s="1"/>
  <c r="E14" i="36"/>
  <c r="D14" i="36"/>
  <c r="H13" i="36"/>
  <c r="D13" i="36"/>
  <c r="E12" i="36"/>
  <c r="F12" i="36" s="1"/>
  <c r="G12" i="36" s="1"/>
  <c r="H12" i="36" s="1"/>
  <c r="D12" i="36"/>
  <c r="C12" i="36"/>
  <c r="C11" i="36"/>
  <c r="H11" i="36" s="1"/>
  <c r="C10" i="36"/>
  <c r="D9" i="36"/>
  <c r="G9" i="36" s="1"/>
  <c r="E8" i="36"/>
  <c r="F8" i="36" s="1"/>
  <c r="G8" i="36" s="1"/>
  <c r="H8" i="36" s="1"/>
  <c r="D8" i="36"/>
  <c r="E7" i="36"/>
  <c r="F7" i="36" s="1"/>
  <c r="G7" i="36" s="1"/>
  <c r="H7" i="36" s="1"/>
  <c r="D7" i="36"/>
  <c r="C6" i="36"/>
  <c r="H4" i="36"/>
  <c r="H9" i="36" s="1"/>
  <c r="C155" i="35"/>
  <c r="C154" i="35"/>
  <c r="C156" i="35" s="1"/>
  <c r="C151" i="35"/>
  <c r="C145" i="35"/>
  <c r="C144" i="35"/>
  <c r="C143" i="35"/>
  <c r="C141" i="35"/>
  <c r="C136" i="35"/>
  <c r="C135" i="35"/>
  <c r="C130" i="35"/>
  <c r="C129" i="35"/>
  <c r="C128" i="35"/>
  <c r="C121" i="35"/>
  <c r="C124" i="35" s="1"/>
  <c r="C114" i="35"/>
  <c r="C113" i="35"/>
  <c r="C112" i="35"/>
  <c r="C111" i="35"/>
  <c r="C109" i="35"/>
  <c r="C108" i="35"/>
  <c r="C106" i="35"/>
  <c r="C99" i="35"/>
  <c r="C102" i="35" s="1"/>
  <c r="C98" i="35"/>
  <c r="C96" i="35"/>
  <c r="C93" i="35"/>
  <c r="C91" i="35"/>
  <c r="C84" i="35"/>
  <c r="C76" i="35"/>
  <c r="C71" i="35"/>
  <c r="C63" i="35"/>
  <c r="C60" i="35"/>
  <c r="C59" i="35"/>
  <c r="C58" i="35"/>
  <c r="C57" i="35"/>
  <c r="C56" i="35"/>
  <c r="C48" i="35"/>
  <c r="C46" i="35"/>
  <c r="C42" i="35"/>
  <c r="C39" i="35"/>
  <c r="C38" i="35"/>
  <c r="C37" i="35"/>
  <c r="C35" i="35"/>
  <c r="C32" i="35"/>
  <c r="C31" i="35"/>
  <c r="C33" i="35" s="1"/>
  <c r="C19" i="35"/>
  <c r="C18" i="35"/>
  <c r="C17" i="35"/>
  <c r="C16" i="35"/>
  <c r="C13" i="35"/>
  <c r="C12" i="35"/>
  <c r="C11" i="35"/>
  <c r="C10" i="35"/>
  <c r="C9" i="35"/>
  <c r="C8" i="35"/>
  <c r="C6" i="35"/>
  <c r="G5" i="35"/>
  <c r="C5" i="35"/>
  <c r="C67" i="34"/>
  <c r="C68" i="34" s="1"/>
  <c r="C18" i="34" s="1"/>
  <c r="C66" i="34"/>
  <c r="C61" i="34"/>
  <c r="C56" i="34"/>
  <c r="C17" i="34" s="1"/>
  <c r="C45" i="34"/>
  <c r="E33" i="34"/>
  <c r="D29" i="34"/>
  <c r="D28" i="34"/>
  <c r="E8" i="34" s="1"/>
  <c r="F8" i="34" s="1"/>
  <c r="D21" i="34"/>
  <c r="G21" i="34" s="1"/>
  <c r="H21" i="34" s="1"/>
  <c r="H20" i="34"/>
  <c r="D20" i="34"/>
  <c r="D17" i="34"/>
  <c r="G17" i="34" s="1"/>
  <c r="C16" i="34"/>
  <c r="H16" i="34" s="1"/>
  <c r="H15" i="34"/>
  <c r="C15" i="34"/>
  <c r="D15" i="34" s="1"/>
  <c r="G15" i="34" s="1"/>
  <c r="E14" i="34"/>
  <c r="F14" i="34" s="1"/>
  <c r="G14" i="34" s="1"/>
  <c r="H14" i="34" s="1"/>
  <c r="D14" i="34"/>
  <c r="C13" i="34"/>
  <c r="E12" i="34"/>
  <c r="F12" i="34" s="1"/>
  <c r="G12" i="34" s="1"/>
  <c r="H12" i="34" s="1"/>
  <c r="D12" i="34"/>
  <c r="C11" i="34"/>
  <c r="C10" i="34"/>
  <c r="D10" i="34" s="1"/>
  <c r="G10" i="34" s="1"/>
  <c r="H9" i="34"/>
  <c r="D9" i="34"/>
  <c r="G9" i="34" s="1"/>
  <c r="G8" i="34"/>
  <c r="H8" i="34" s="1"/>
  <c r="D8" i="34"/>
  <c r="E7" i="34"/>
  <c r="F7" i="34" s="1"/>
  <c r="G7" i="34" s="1"/>
  <c r="H7" i="34" s="1"/>
  <c r="D7" i="34"/>
  <c r="D6" i="34"/>
  <c r="C6" i="34"/>
  <c r="H4" i="34"/>
  <c r="H6" i="34" s="1"/>
  <c r="C155" i="33"/>
  <c r="C154" i="33"/>
  <c r="C151" i="33"/>
  <c r="C146" i="33"/>
  <c r="C145" i="33"/>
  <c r="C144" i="33"/>
  <c r="C143" i="33"/>
  <c r="C141" i="33"/>
  <c r="C136" i="33"/>
  <c r="C135" i="33"/>
  <c r="C130" i="33"/>
  <c r="C129" i="33"/>
  <c r="C128" i="33"/>
  <c r="C121" i="33"/>
  <c r="C113" i="33"/>
  <c r="C112" i="33"/>
  <c r="C114" i="33" s="1"/>
  <c r="C111" i="33"/>
  <c r="C109" i="33"/>
  <c r="C108" i="33"/>
  <c r="C110" i="33" s="1"/>
  <c r="C116" i="33" s="1"/>
  <c r="C106" i="33"/>
  <c r="C98" i="33"/>
  <c r="C96" i="33"/>
  <c r="C99" i="33" s="1"/>
  <c r="C102" i="33" s="1"/>
  <c r="C91" i="33"/>
  <c r="C86" i="33"/>
  <c r="C84" i="33"/>
  <c r="C76" i="33"/>
  <c r="C75" i="33"/>
  <c r="C71" i="33"/>
  <c r="C63" i="33"/>
  <c r="C60" i="33"/>
  <c r="C59" i="33"/>
  <c r="C58" i="33"/>
  <c r="C57" i="33"/>
  <c r="C56" i="33"/>
  <c r="C48" i="33"/>
  <c r="C46" i="33"/>
  <c r="C50" i="33" s="1"/>
  <c r="C39" i="33"/>
  <c r="C38" i="33"/>
  <c r="C40" i="33" s="1"/>
  <c r="C37" i="33"/>
  <c r="C35" i="33"/>
  <c r="C42" i="33" s="1"/>
  <c r="C32" i="33"/>
  <c r="C31" i="33"/>
  <c r="C33" i="33" s="1"/>
  <c r="C19" i="33"/>
  <c r="C18" i="33"/>
  <c r="C17" i="33"/>
  <c r="C16" i="33"/>
  <c r="C20" i="33" s="1"/>
  <c r="C12" i="33"/>
  <c r="C11" i="33"/>
  <c r="C10" i="33"/>
  <c r="C9" i="33"/>
  <c r="C8" i="33"/>
  <c r="C6" i="33"/>
  <c r="G5" i="33"/>
  <c r="C5" i="33"/>
  <c r="C13" i="33" s="1"/>
  <c r="C68" i="32"/>
  <c r="C18" i="32" s="1"/>
  <c r="D18" i="32" s="1"/>
  <c r="C67" i="32"/>
  <c r="C66" i="32"/>
  <c r="C61" i="32"/>
  <c r="C56" i="32"/>
  <c r="C17" i="32" s="1"/>
  <c r="D17" i="32" s="1"/>
  <c r="C45" i="32"/>
  <c r="E33" i="32"/>
  <c r="D29" i="32"/>
  <c r="D28" i="32"/>
  <c r="H21" i="32"/>
  <c r="G21" i="32"/>
  <c r="D21" i="32"/>
  <c r="H20" i="32"/>
  <c r="D20" i="32"/>
  <c r="G18" i="32"/>
  <c r="H18" i="32" s="1"/>
  <c r="H17" i="32"/>
  <c r="G17" i="32"/>
  <c r="C16" i="32"/>
  <c r="H16" i="32" s="1"/>
  <c r="D15" i="32"/>
  <c r="G15" i="32" s="1"/>
  <c r="C15" i="32"/>
  <c r="E14" i="32"/>
  <c r="F14" i="32" s="1"/>
  <c r="G14" i="32" s="1"/>
  <c r="H14" i="32" s="1"/>
  <c r="D14" i="32"/>
  <c r="C13" i="32"/>
  <c r="H13" i="32" s="1"/>
  <c r="F12" i="32"/>
  <c r="G12" i="32" s="1"/>
  <c r="H12" i="32" s="1"/>
  <c r="E12" i="32"/>
  <c r="D12" i="32"/>
  <c r="C11" i="32"/>
  <c r="H11" i="32" s="1"/>
  <c r="D9" i="32"/>
  <c r="G9" i="32" s="1"/>
  <c r="H8" i="32"/>
  <c r="E8" i="32"/>
  <c r="F8" i="32" s="1"/>
  <c r="G8" i="32" s="1"/>
  <c r="D8" i="32"/>
  <c r="E7" i="32"/>
  <c r="F7" i="32" s="1"/>
  <c r="G7" i="32" s="1"/>
  <c r="H7" i="32" s="1"/>
  <c r="D7" i="32"/>
  <c r="D6" i="32"/>
  <c r="G6" i="32" s="1"/>
  <c r="C6" i="32"/>
  <c r="H4" i="32"/>
  <c r="C156" i="31"/>
  <c r="C155" i="31"/>
  <c r="C154" i="31"/>
  <c r="C151" i="31"/>
  <c r="C146" i="31"/>
  <c r="C145" i="31"/>
  <c r="C144" i="31"/>
  <c r="C143" i="31"/>
  <c r="C141" i="31"/>
  <c r="C136" i="31"/>
  <c r="C135" i="31"/>
  <c r="C130" i="31"/>
  <c r="C129" i="31"/>
  <c r="C128" i="31"/>
  <c r="C121" i="31"/>
  <c r="C113" i="31"/>
  <c r="C112" i="31"/>
  <c r="C111" i="31"/>
  <c r="C109" i="31"/>
  <c r="C108" i="31"/>
  <c r="C110" i="31" s="1"/>
  <c r="C106" i="31"/>
  <c r="C98" i="31"/>
  <c r="C96" i="31"/>
  <c r="C91" i="31"/>
  <c r="C93" i="31" s="1"/>
  <c r="C84" i="31"/>
  <c r="C76" i="31"/>
  <c r="C86" i="31" s="1"/>
  <c r="C75" i="31"/>
  <c r="C71" i="31"/>
  <c r="C60" i="31"/>
  <c r="C59" i="31"/>
  <c r="C58" i="31"/>
  <c r="C57" i="31"/>
  <c r="C56" i="31"/>
  <c r="C63" i="31" s="1"/>
  <c r="C50" i="31"/>
  <c r="C48" i="31"/>
  <c r="C46" i="31"/>
  <c r="C42" i="31"/>
  <c r="C39" i="31"/>
  <c r="C38" i="31"/>
  <c r="C37" i="31"/>
  <c r="C40" i="31" s="1"/>
  <c r="C35" i="31"/>
  <c r="C32" i="31"/>
  <c r="C31" i="31"/>
  <c r="C19" i="31"/>
  <c r="C18" i="31"/>
  <c r="C17" i="31"/>
  <c r="C16" i="31"/>
  <c r="C20" i="31" s="1"/>
  <c r="C12" i="31"/>
  <c r="C11" i="31"/>
  <c r="C10" i="31"/>
  <c r="C9" i="31"/>
  <c r="C8" i="31"/>
  <c r="C6" i="31"/>
  <c r="C5" i="31"/>
  <c r="G5" i="31" s="1"/>
  <c r="C65" i="30"/>
  <c r="C61" i="30"/>
  <c r="C14" i="30" s="1"/>
  <c r="C56" i="30"/>
  <c r="C17" i="30" s="1"/>
  <c r="C45" i="30"/>
  <c r="E33" i="30"/>
  <c r="D29" i="30"/>
  <c r="D28" i="30"/>
  <c r="E12" i="30" s="1"/>
  <c r="F12" i="30" s="1"/>
  <c r="G12" i="30" s="1"/>
  <c r="H12" i="30" s="1"/>
  <c r="G21" i="30"/>
  <c r="H21" i="30" s="1"/>
  <c r="D21" i="30"/>
  <c r="H20" i="30"/>
  <c r="D20" i="30"/>
  <c r="G18" i="30"/>
  <c r="H18" i="30" s="1"/>
  <c r="D18" i="30"/>
  <c r="C18" i="30"/>
  <c r="C16" i="30"/>
  <c r="H16" i="30" s="1"/>
  <c r="C15" i="30"/>
  <c r="H13" i="30"/>
  <c r="D13" i="30"/>
  <c r="C13" i="30"/>
  <c r="D12" i="30"/>
  <c r="H11" i="30"/>
  <c r="D11" i="30"/>
  <c r="C11" i="30"/>
  <c r="D10" i="30"/>
  <c r="G10" i="30" s="1"/>
  <c r="C10" i="30"/>
  <c r="D9" i="30"/>
  <c r="G9" i="30" s="1"/>
  <c r="E8" i="30"/>
  <c r="F8" i="30" s="1"/>
  <c r="G8" i="30" s="1"/>
  <c r="H8" i="30" s="1"/>
  <c r="D8" i="30"/>
  <c r="F7" i="30"/>
  <c r="G7" i="30" s="1"/>
  <c r="H7" i="30" s="1"/>
  <c r="E7" i="30"/>
  <c r="D7" i="30"/>
  <c r="G6" i="30"/>
  <c r="D6" i="30"/>
  <c r="C6" i="30"/>
  <c r="H4" i="30"/>
  <c r="H9" i="30" s="1"/>
  <c r="C155" i="29"/>
  <c r="C154" i="29"/>
  <c r="C151" i="29"/>
  <c r="C145" i="29"/>
  <c r="C144" i="29"/>
  <c r="C143" i="29"/>
  <c r="C146" i="29" s="1"/>
  <c r="C141" i="29"/>
  <c r="C136" i="29"/>
  <c r="C135" i="29"/>
  <c r="C130" i="29"/>
  <c r="C129" i="29"/>
  <c r="C128" i="29"/>
  <c r="C121" i="29"/>
  <c r="C113" i="29"/>
  <c r="C112" i="29"/>
  <c r="C111" i="29"/>
  <c r="C109" i="29"/>
  <c r="C108" i="29"/>
  <c r="C110" i="29" s="1"/>
  <c r="C106" i="29"/>
  <c r="C98" i="29"/>
  <c r="C96" i="29"/>
  <c r="C99" i="29" s="1"/>
  <c r="C102" i="29" s="1"/>
  <c r="C91" i="29"/>
  <c r="C93" i="29" s="1"/>
  <c r="C84" i="29"/>
  <c r="C76" i="29"/>
  <c r="C75" i="29"/>
  <c r="C86" i="29" s="1"/>
  <c r="C71" i="29"/>
  <c r="C60" i="29"/>
  <c r="C59" i="29"/>
  <c r="C58" i="29"/>
  <c r="C57" i="29"/>
  <c r="C56" i="29"/>
  <c r="C63" i="29" s="1"/>
  <c r="C50" i="29"/>
  <c r="C48" i="29"/>
  <c r="C46" i="29"/>
  <c r="C39" i="29"/>
  <c r="C38" i="29"/>
  <c r="C37" i="29"/>
  <c r="C40" i="29" s="1"/>
  <c r="C35" i="29"/>
  <c r="C42" i="29" s="1"/>
  <c r="C32" i="29"/>
  <c r="C31" i="29"/>
  <c r="C19" i="29"/>
  <c r="C18" i="29"/>
  <c r="C17" i="29"/>
  <c r="C16" i="29"/>
  <c r="C12" i="29"/>
  <c r="C11" i="29"/>
  <c r="C10" i="29"/>
  <c r="C9" i="29"/>
  <c r="C8" i="29"/>
  <c r="C6" i="29"/>
  <c r="C5" i="29"/>
  <c r="C62" i="28"/>
  <c r="C58" i="28"/>
  <c r="C53" i="28"/>
  <c r="C42" i="28"/>
  <c r="E33" i="28"/>
  <c r="D29" i="28"/>
  <c r="D28" i="28"/>
  <c r="G21" i="28"/>
  <c r="H21" i="28" s="1"/>
  <c r="D21" i="28"/>
  <c r="H20" i="28"/>
  <c r="D20" i="28"/>
  <c r="G18" i="28"/>
  <c r="H18" i="28" s="1"/>
  <c r="D18" i="28"/>
  <c r="D17" i="28"/>
  <c r="G17" i="28" s="1"/>
  <c r="C17" i="28"/>
  <c r="C16" i="28"/>
  <c r="H16" i="28" s="1"/>
  <c r="C15" i="28"/>
  <c r="D15" i="28" s="1"/>
  <c r="G15" i="28" s="1"/>
  <c r="H15" i="28" s="1"/>
  <c r="AA17" i="1" s="1"/>
  <c r="D14" i="28"/>
  <c r="C14" i="28"/>
  <c r="E14" i="28" s="1"/>
  <c r="F14" i="28" s="1"/>
  <c r="G14" i="28" s="1"/>
  <c r="H14" i="28" s="1"/>
  <c r="D12" i="28"/>
  <c r="H11" i="28"/>
  <c r="D11" i="28"/>
  <c r="C10" i="28"/>
  <c r="H9" i="28"/>
  <c r="D9" i="28"/>
  <c r="G9" i="28" s="1"/>
  <c r="D8" i="28"/>
  <c r="E7" i="28"/>
  <c r="F7" i="28" s="1"/>
  <c r="G7" i="28" s="1"/>
  <c r="H7" i="28" s="1"/>
  <c r="D7" i="28"/>
  <c r="D6" i="28"/>
  <c r="C6" i="28"/>
  <c r="C19" i="28" s="1"/>
  <c r="H4" i="28"/>
  <c r="C155" i="27"/>
  <c r="C154" i="27"/>
  <c r="C151" i="27"/>
  <c r="C146" i="27"/>
  <c r="C145" i="27"/>
  <c r="C144" i="27"/>
  <c r="C143" i="27"/>
  <c r="C141" i="27"/>
  <c r="C136" i="27"/>
  <c r="C135" i="27"/>
  <c r="C130" i="27"/>
  <c r="C129" i="27"/>
  <c r="C128" i="27"/>
  <c r="C121" i="27"/>
  <c r="C113" i="27"/>
  <c r="C112" i="27"/>
  <c r="C114" i="27" s="1"/>
  <c r="C111" i="27"/>
  <c r="C109" i="27"/>
  <c r="C108" i="27"/>
  <c r="C110" i="27" s="1"/>
  <c r="C116" i="27" s="1"/>
  <c r="C106" i="27"/>
  <c r="C98" i="27"/>
  <c r="C96" i="27"/>
  <c r="C91" i="27"/>
  <c r="C93" i="27" s="1"/>
  <c r="C84" i="27"/>
  <c r="C76" i="27"/>
  <c r="C75" i="27"/>
  <c r="C86" i="27" s="1"/>
  <c r="C71" i="27"/>
  <c r="C60" i="27"/>
  <c r="C59" i="27"/>
  <c r="C58" i="27"/>
  <c r="C57" i="27"/>
  <c r="C56" i="27"/>
  <c r="C63" i="27" s="1"/>
  <c r="C48" i="27"/>
  <c r="C46" i="27"/>
  <c r="C50" i="27" s="1"/>
  <c r="C39" i="27"/>
  <c r="C38" i="27"/>
  <c r="C37" i="27"/>
  <c r="C35" i="27"/>
  <c r="C42" i="27" s="1"/>
  <c r="C32" i="27"/>
  <c r="C31" i="27"/>
  <c r="C33" i="27" s="1"/>
  <c r="C19" i="27"/>
  <c r="C18" i="27"/>
  <c r="C17" i="27"/>
  <c r="C16" i="27"/>
  <c r="C20" i="27" s="1"/>
  <c r="C12" i="27"/>
  <c r="C11" i="27"/>
  <c r="C10" i="27"/>
  <c r="C9" i="27"/>
  <c r="C8" i="27"/>
  <c r="C6" i="27"/>
  <c r="G5" i="27"/>
  <c r="C5" i="27"/>
  <c r="C13" i="27" s="1"/>
  <c r="C53" i="26"/>
  <c r="C48" i="26"/>
  <c r="C40" i="26"/>
  <c r="E33" i="26"/>
  <c r="C16" i="26" s="1"/>
  <c r="D29" i="26"/>
  <c r="D28" i="26"/>
  <c r="D21" i="26"/>
  <c r="G21" i="26" s="1"/>
  <c r="H21" i="26" s="1"/>
  <c r="G18" i="26"/>
  <c r="H18" i="26" s="1"/>
  <c r="D18" i="26"/>
  <c r="D17" i="26"/>
  <c r="G17" i="26" s="1"/>
  <c r="C17" i="26"/>
  <c r="D14" i="26"/>
  <c r="C14" i="26"/>
  <c r="E14" i="26" s="1"/>
  <c r="F14" i="26" s="1"/>
  <c r="G14" i="26" s="1"/>
  <c r="H14" i="26" s="1"/>
  <c r="F12" i="26"/>
  <c r="G12" i="26" s="1"/>
  <c r="H12" i="26" s="1"/>
  <c r="X14" i="1" s="1"/>
  <c r="E12" i="26"/>
  <c r="D12" i="26"/>
  <c r="G10" i="26"/>
  <c r="H10" i="26" s="1"/>
  <c r="D10" i="26"/>
  <c r="C10" i="26"/>
  <c r="G9" i="26"/>
  <c r="D9" i="26"/>
  <c r="F8" i="26"/>
  <c r="G8" i="26" s="1"/>
  <c r="H8" i="26" s="1"/>
  <c r="X10" i="1" s="1"/>
  <c r="E8" i="26"/>
  <c r="D8" i="26"/>
  <c r="G7" i="26"/>
  <c r="H7" i="26" s="1"/>
  <c r="F7" i="26"/>
  <c r="E7" i="26"/>
  <c r="D7" i="26"/>
  <c r="C6" i="26"/>
  <c r="H4" i="26"/>
  <c r="H9" i="26" s="1"/>
  <c r="X11" i="1" s="1"/>
  <c r="C155" i="25"/>
  <c r="C154" i="25"/>
  <c r="C156" i="25" s="1"/>
  <c r="C151" i="25"/>
  <c r="C145" i="25"/>
  <c r="C144" i="25"/>
  <c r="C143" i="25"/>
  <c r="C146" i="25" s="1"/>
  <c r="C141" i="25"/>
  <c r="C136" i="25"/>
  <c r="C135" i="25"/>
  <c r="C130" i="25"/>
  <c r="C129" i="25"/>
  <c r="C128" i="25"/>
  <c r="C121" i="25"/>
  <c r="C124" i="25" s="1"/>
  <c r="C147" i="25" s="1"/>
  <c r="C113" i="25"/>
  <c r="C112" i="25"/>
  <c r="C111" i="25"/>
  <c r="C109" i="25"/>
  <c r="C108" i="25"/>
  <c r="C110" i="25" s="1"/>
  <c r="C106" i="25"/>
  <c r="C99" i="25"/>
  <c r="C102" i="25" s="1"/>
  <c r="C98" i="25"/>
  <c r="C96" i="25"/>
  <c r="C91" i="25"/>
  <c r="C93" i="25" s="1"/>
  <c r="C84" i="25"/>
  <c r="C76" i="25"/>
  <c r="C71" i="25"/>
  <c r="C75" i="25" s="1"/>
  <c r="C86" i="25" s="1"/>
  <c r="C60" i="25"/>
  <c r="C59" i="25"/>
  <c r="C58" i="25"/>
  <c r="C57" i="25"/>
  <c r="C61" i="25" s="1"/>
  <c r="C56" i="25"/>
  <c r="C63" i="25" s="1"/>
  <c r="C48" i="25"/>
  <c r="C50" i="25" s="1"/>
  <c r="C46" i="25"/>
  <c r="C42" i="25"/>
  <c r="C39" i="25"/>
  <c r="C38" i="25"/>
  <c r="C37" i="25"/>
  <c r="C40" i="25" s="1"/>
  <c r="C35" i="25"/>
  <c r="C32" i="25"/>
  <c r="C31" i="25"/>
  <c r="C19" i="25"/>
  <c r="C18" i="25"/>
  <c r="C17" i="25"/>
  <c r="C16" i="25"/>
  <c r="C20" i="25" s="1"/>
  <c r="C12" i="25"/>
  <c r="C11" i="25"/>
  <c r="C10" i="25"/>
  <c r="C9" i="25"/>
  <c r="C8" i="25"/>
  <c r="C6" i="25"/>
  <c r="C5" i="25"/>
  <c r="G5" i="25" s="1"/>
  <c r="C51" i="24"/>
  <c r="C46" i="24"/>
  <c r="C40" i="24"/>
  <c r="E33" i="24"/>
  <c r="D29" i="24"/>
  <c r="D28" i="24"/>
  <c r="E12" i="24" s="1"/>
  <c r="F12" i="24" s="1"/>
  <c r="G12" i="24" s="1"/>
  <c r="H12" i="24" s="1"/>
  <c r="G21" i="24"/>
  <c r="H21" i="24" s="1"/>
  <c r="D21" i="24"/>
  <c r="D18" i="24"/>
  <c r="G18" i="24" s="1"/>
  <c r="H18" i="24" s="1"/>
  <c r="U20" i="1" s="1"/>
  <c r="C17" i="24"/>
  <c r="D17" i="24" s="1"/>
  <c r="G17" i="24" s="1"/>
  <c r="H17" i="24" s="1"/>
  <c r="H16" i="24"/>
  <c r="C16" i="24"/>
  <c r="D15" i="24"/>
  <c r="G15" i="24" s="1"/>
  <c r="T17" i="1" s="1"/>
  <c r="C15" i="24"/>
  <c r="F14" i="24"/>
  <c r="G14" i="24" s="1"/>
  <c r="E14" i="24"/>
  <c r="C14" i="24"/>
  <c r="H14" i="24" s="1"/>
  <c r="U16" i="1" s="1"/>
  <c r="D12" i="24"/>
  <c r="C10" i="24"/>
  <c r="H9" i="24"/>
  <c r="D9" i="24"/>
  <c r="G9" i="24" s="1"/>
  <c r="T11" i="1" s="1"/>
  <c r="D8" i="24"/>
  <c r="E7" i="24"/>
  <c r="F7" i="24" s="1"/>
  <c r="G7" i="24" s="1"/>
  <c r="H7" i="24" s="1"/>
  <c r="D7" i="24"/>
  <c r="D6" i="24"/>
  <c r="G6" i="24" s="1"/>
  <c r="C6" i="24"/>
  <c r="H4" i="24"/>
  <c r="H6" i="24" s="1"/>
  <c r="C155" i="23"/>
  <c r="C154" i="23"/>
  <c r="C151" i="23"/>
  <c r="C145" i="23"/>
  <c r="C144" i="23"/>
  <c r="C143" i="23"/>
  <c r="C141" i="23"/>
  <c r="C136" i="23"/>
  <c r="C135" i="23"/>
  <c r="C130" i="23"/>
  <c r="C129" i="23"/>
  <c r="C128" i="23"/>
  <c r="C121" i="23"/>
  <c r="C113" i="23"/>
  <c r="C112" i="23"/>
  <c r="C114" i="23" s="1"/>
  <c r="C111" i="23"/>
  <c r="C109" i="23"/>
  <c r="C108" i="23"/>
  <c r="C106" i="23"/>
  <c r="C98" i="23"/>
  <c r="C96" i="23"/>
  <c r="C99" i="23" s="1"/>
  <c r="C102" i="23" s="1"/>
  <c r="C91" i="23"/>
  <c r="C93" i="23" s="1"/>
  <c r="C84" i="23"/>
  <c r="C76" i="23"/>
  <c r="C75" i="23"/>
  <c r="C86" i="23" s="1"/>
  <c r="C71" i="23"/>
  <c r="C60" i="23"/>
  <c r="C59" i="23"/>
  <c r="C58" i="23"/>
  <c r="C57" i="23"/>
  <c r="C56" i="23"/>
  <c r="C63" i="23" s="1"/>
  <c r="C48" i="23"/>
  <c r="C46" i="23"/>
  <c r="C50" i="23" s="1"/>
  <c r="C39" i="23"/>
  <c r="C38" i="23"/>
  <c r="C37" i="23"/>
  <c r="C35" i="23"/>
  <c r="C42" i="23" s="1"/>
  <c r="C32" i="23"/>
  <c r="C31" i="23"/>
  <c r="C33" i="23" s="1"/>
  <c r="C19" i="23"/>
  <c r="C18" i="23"/>
  <c r="C17" i="23"/>
  <c r="C16" i="23"/>
  <c r="C20" i="23" s="1"/>
  <c r="C12" i="23"/>
  <c r="C11" i="23"/>
  <c r="C10" i="23"/>
  <c r="C9" i="23"/>
  <c r="C8" i="23"/>
  <c r="C6" i="23"/>
  <c r="G5" i="23"/>
  <c r="C5" i="23"/>
  <c r="C13" i="23" s="1"/>
  <c r="E33" i="22"/>
  <c r="C16" i="22" s="1"/>
  <c r="D29" i="22"/>
  <c r="D28" i="22"/>
  <c r="D21" i="22"/>
  <c r="G21" i="22" s="1"/>
  <c r="H21" i="22" s="1"/>
  <c r="H18" i="22"/>
  <c r="G18" i="22"/>
  <c r="D18" i="22"/>
  <c r="G17" i="22"/>
  <c r="H17" i="22" s="1"/>
  <c r="D17" i="22"/>
  <c r="E14" i="22"/>
  <c r="F14" i="22" s="1"/>
  <c r="G14" i="22" s="1"/>
  <c r="H14" i="22" s="1"/>
  <c r="D14" i="22"/>
  <c r="E12" i="22"/>
  <c r="F12" i="22" s="1"/>
  <c r="G12" i="22" s="1"/>
  <c r="H12" i="22" s="1"/>
  <c r="D12" i="22"/>
  <c r="D10" i="22"/>
  <c r="G10" i="22" s="1"/>
  <c r="C10" i="22"/>
  <c r="H10" i="22" s="1"/>
  <c r="D9" i="22"/>
  <c r="G9" i="22" s="1"/>
  <c r="E8" i="22"/>
  <c r="F8" i="22" s="1"/>
  <c r="G8" i="22" s="1"/>
  <c r="H8" i="22" s="1"/>
  <c r="D8" i="22"/>
  <c r="F7" i="22"/>
  <c r="G7" i="22" s="1"/>
  <c r="H7" i="22" s="1"/>
  <c r="E7" i="22"/>
  <c r="D7" i="22"/>
  <c r="G6" i="22"/>
  <c r="D6" i="22"/>
  <c r="C6" i="22"/>
  <c r="H4" i="22"/>
  <c r="H9" i="22" s="1"/>
  <c r="C155" i="21"/>
  <c r="C154" i="21"/>
  <c r="C151" i="21"/>
  <c r="C145" i="21"/>
  <c r="C144" i="21"/>
  <c r="C146" i="21" s="1"/>
  <c r="C143" i="21"/>
  <c r="C141" i="21"/>
  <c r="C136" i="21"/>
  <c r="C135" i="21"/>
  <c r="C130" i="21"/>
  <c r="C129" i="21"/>
  <c r="C128" i="21"/>
  <c r="C121" i="21"/>
  <c r="C113" i="21"/>
  <c r="C112" i="21"/>
  <c r="C111" i="21"/>
  <c r="C109" i="21"/>
  <c r="C108" i="21"/>
  <c r="C110" i="21" s="1"/>
  <c r="C106" i="21"/>
  <c r="C98" i="21"/>
  <c r="C96" i="21"/>
  <c r="C99" i="21" s="1"/>
  <c r="C102" i="21" s="1"/>
  <c r="C91" i="21"/>
  <c r="C93" i="21" s="1"/>
  <c r="C84" i="21"/>
  <c r="C76" i="21"/>
  <c r="C75" i="21"/>
  <c r="C86" i="21" s="1"/>
  <c r="C71" i="21"/>
  <c r="C60" i="21"/>
  <c r="C59" i="21"/>
  <c r="C58" i="21"/>
  <c r="C57" i="21"/>
  <c r="C56" i="21"/>
  <c r="C63" i="21" s="1"/>
  <c r="C50" i="21"/>
  <c r="C48" i="21"/>
  <c r="C46" i="21"/>
  <c r="C39" i="21"/>
  <c r="C38" i="21"/>
  <c r="C40" i="21" s="1"/>
  <c r="C37" i="21"/>
  <c r="C35" i="21"/>
  <c r="C42" i="21" s="1"/>
  <c r="C32" i="21"/>
  <c r="C31" i="21"/>
  <c r="C19" i="21"/>
  <c r="C18" i="21"/>
  <c r="C17" i="21"/>
  <c r="C16" i="21"/>
  <c r="C20" i="21" s="1"/>
  <c r="C12" i="21"/>
  <c r="C11" i="21"/>
  <c r="C10" i="21"/>
  <c r="C9" i="21"/>
  <c r="C8" i="21"/>
  <c r="C6" i="21"/>
  <c r="C5" i="21"/>
  <c r="E32" i="20"/>
  <c r="D28" i="20"/>
  <c r="D27" i="20"/>
  <c r="G20" i="20"/>
  <c r="H20" i="20" s="1"/>
  <c r="D20" i="20"/>
  <c r="D17" i="20"/>
  <c r="H16" i="20"/>
  <c r="C16" i="20"/>
  <c r="D16" i="20" s="1"/>
  <c r="G16" i="20" s="1"/>
  <c r="H15" i="20"/>
  <c r="C15" i="20"/>
  <c r="G14" i="20"/>
  <c r="D14" i="20"/>
  <c r="C14" i="20"/>
  <c r="H14" i="20" s="1"/>
  <c r="G13" i="20"/>
  <c r="H13" i="20" s="1"/>
  <c r="F13" i="20"/>
  <c r="E13" i="20"/>
  <c r="D13" i="20"/>
  <c r="D11" i="20"/>
  <c r="C9" i="20"/>
  <c r="H8" i="20"/>
  <c r="D8" i="20"/>
  <c r="G8" i="20" s="1"/>
  <c r="D7" i="20"/>
  <c r="E6" i="20"/>
  <c r="F6" i="20" s="1"/>
  <c r="G6" i="20" s="1"/>
  <c r="H6" i="20" s="1"/>
  <c r="D6" i="20"/>
  <c r="D5" i="20"/>
  <c r="G5" i="20" s="1"/>
  <c r="C5" i="20"/>
  <c r="H3" i="20"/>
  <c r="H5" i="20" s="1"/>
  <c r="C156" i="19"/>
  <c r="C155" i="19"/>
  <c r="C154" i="19"/>
  <c r="C151" i="19"/>
  <c r="C145" i="19"/>
  <c r="C144" i="19"/>
  <c r="C143" i="19"/>
  <c r="C146" i="19" s="1"/>
  <c r="C141" i="19"/>
  <c r="C136" i="19"/>
  <c r="C135" i="19"/>
  <c r="C130" i="19"/>
  <c r="C129" i="19"/>
  <c r="C128" i="19"/>
  <c r="C121" i="19"/>
  <c r="C113" i="19"/>
  <c r="C112" i="19"/>
  <c r="C111" i="19"/>
  <c r="C109" i="19"/>
  <c r="C108" i="19"/>
  <c r="C110" i="19" s="1"/>
  <c r="C106" i="19"/>
  <c r="C98" i="19"/>
  <c r="C96" i="19"/>
  <c r="C91" i="19"/>
  <c r="C93" i="19" s="1"/>
  <c r="C84" i="19"/>
  <c r="C76" i="19"/>
  <c r="C75" i="19"/>
  <c r="C86" i="19" s="1"/>
  <c r="C71" i="19"/>
  <c r="C60" i="19"/>
  <c r="C59" i="19"/>
  <c r="C58" i="19"/>
  <c r="C57" i="19"/>
  <c r="C56" i="19"/>
  <c r="C63" i="19" s="1"/>
  <c r="C50" i="19"/>
  <c r="C48" i="19"/>
  <c r="C46" i="19"/>
  <c r="C42" i="19"/>
  <c r="C39" i="19"/>
  <c r="C38" i="19"/>
  <c r="C37" i="19"/>
  <c r="C40" i="19" s="1"/>
  <c r="C35" i="19"/>
  <c r="C32" i="19"/>
  <c r="C31" i="19"/>
  <c r="C19" i="19"/>
  <c r="C18" i="19"/>
  <c r="C17" i="19"/>
  <c r="C16" i="19"/>
  <c r="C12" i="19"/>
  <c r="C11" i="19"/>
  <c r="C10" i="19"/>
  <c r="C9" i="19"/>
  <c r="C8" i="19"/>
  <c r="C6" i="19"/>
  <c r="C5" i="19"/>
  <c r="E32" i="18"/>
  <c r="D28" i="18"/>
  <c r="E6" i="18" s="1"/>
  <c r="D27" i="18"/>
  <c r="G20" i="18"/>
  <c r="H20" i="18" s="1"/>
  <c r="D20" i="18"/>
  <c r="H17" i="18"/>
  <c r="G17" i="18"/>
  <c r="D17" i="18"/>
  <c r="G16" i="18"/>
  <c r="D16" i="18"/>
  <c r="C15" i="18"/>
  <c r="H15" i="18" s="1"/>
  <c r="L18" i="1" s="1"/>
  <c r="C14" i="18"/>
  <c r="D14" i="18" s="1"/>
  <c r="G14" i="18" s="1"/>
  <c r="E13" i="18"/>
  <c r="F13" i="18" s="1"/>
  <c r="G13" i="18" s="1"/>
  <c r="K16" i="1" s="1"/>
  <c r="D13" i="18"/>
  <c r="E11" i="18"/>
  <c r="F11" i="18" s="1"/>
  <c r="G11" i="18" s="1"/>
  <c r="H11" i="18" s="1"/>
  <c r="D11" i="18"/>
  <c r="G9" i="18"/>
  <c r="K12" i="1" s="1"/>
  <c r="D9" i="18"/>
  <c r="C9" i="18"/>
  <c r="D8" i="18"/>
  <c r="G8" i="18" s="1"/>
  <c r="K11" i="1" s="1"/>
  <c r="E7" i="18"/>
  <c r="F7" i="18" s="1"/>
  <c r="G7" i="18" s="1"/>
  <c r="D7" i="18"/>
  <c r="G6" i="18"/>
  <c r="H6" i="18" s="1"/>
  <c r="L9" i="1" s="1"/>
  <c r="F6" i="18"/>
  <c r="D6" i="18"/>
  <c r="G5" i="18"/>
  <c r="D5" i="18"/>
  <c r="C5" i="18"/>
  <c r="H3" i="18"/>
  <c r="D3" i="18"/>
  <c r="C156" i="17"/>
  <c r="C155" i="17"/>
  <c r="C154" i="17"/>
  <c r="C151" i="17"/>
  <c r="C145" i="17"/>
  <c r="C144" i="17"/>
  <c r="C143" i="17"/>
  <c r="C141" i="17"/>
  <c r="C136" i="17"/>
  <c r="C135" i="17"/>
  <c r="C130" i="17"/>
  <c r="C129" i="17"/>
  <c r="C128" i="17"/>
  <c r="C124" i="17"/>
  <c r="C121" i="17"/>
  <c r="C114" i="17"/>
  <c r="C113" i="17"/>
  <c r="C112" i="17"/>
  <c r="C111" i="17"/>
  <c r="C109" i="17"/>
  <c r="C108" i="17"/>
  <c r="C106" i="17"/>
  <c r="C99" i="17"/>
  <c r="C102" i="17" s="1"/>
  <c r="C98" i="17"/>
  <c r="C96" i="17"/>
  <c r="C91" i="17"/>
  <c r="C93" i="17" s="1"/>
  <c r="C84" i="17"/>
  <c r="C76" i="17"/>
  <c r="C75" i="17"/>
  <c r="C86" i="17" s="1"/>
  <c r="C71" i="17"/>
  <c r="C60" i="17"/>
  <c r="C59" i="17"/>
  <c r="C58" i="17"/>
  <c r="C57" i="17"/>
  <c r="C61" i="17" s="1"/>
  <c r="C56" i="17"/>
  <c r="C63" i="17" s="1"/>
  <c r="C48" i="17"/>
  <c r="C46" i="17"/>
  <c r="C42" i="17"/>
  <c r="C39" i="17"/>
  <c r="C38" i="17"/>
  <c r="C37" i="17"/>
  <c r="C35" i="17"/>
  <c r="C33" i="17"/>
  <c r="C32" i="17"/>
  <c r="C31" i="17"/>
  <c r="C19" i="17"/>
  <c r="C18" i="17"/>
  <c r="C17" i="17"/>
  <c r="C16" i="17"/>
  <c r="C20" i="17" s="1"/>
  <c r="C12" i="17"/>
  <c r="C11" i="17"/>
  <c r="C10" i="17"/>
  <c r="C9" i="17"/>
  <c r="C8" i="17"/>
  <c r="C6" i="17"/>
  <c r="C5" i="17"/>
  <c r="G5" i="17" s="1"/>
  <c r="D19" i="16"/>
  <c r="D16" i="16"/>
  <c r="C16" i="16"/>
  <c r="D15" i="16"/>
  <c r="D14" i="16"/>
  <c r="D13" i="16"/>
  <c r="D12" i="16"/>
  <c r="D11" i="16"/>
  <c r="C10" i="16"/>
  <c r="D9" i="16"/>
  <c r="D8" i="16"/>
  <c r="D7" i="16"/>
  <c r="D6" i="16"/>
  <c r="C156" i="15"/>
  <c r="C155" i="15"/>
  <c r="F154" i="15"/>
  <c r="C154" i="15"/>
  <c r="C151" i="15"/>
  <c r="C145" i="15"/>
  <c r="F145" i="15" s="1"/>
  <c r="C144" i="15"/>
  <c r="C143" i="15"/>
  <c r="C141" i="15"/>
  <c r="C136" i="15"/>
  <c r="C135" i="15"/>
  <c r="C130" i="15"/>
  <c r="C129" i="15"/>
  <c r="C128" i="15"/>
  <c r="C124" i="15"/>
  <c r="F121" i="15"/>
  <c r="C121" i="15"/>
  <c r="C114" i="15"/>
  <c r="F113" i="15"/>
  <c r="C113" i="15"/>
  <c r="C112" i="15"/>
  <c r="C111" i="15"/>
  <c r="C109" i="15"/>
  <c r="F109" i="15" s="1"/>
  <c r="F108" i="15"/>
  <c r="C108" i="15"/>
  <c r="C106" i="15"/>
  <c r="C98" i="15"/>
  <c r="C96" i="15"/>
  <c r="C99" i="15" s="1"/>
  <c r="C102" i="15" s="1"/>
  <c r="C91" i="15"/>
  <c r="C93" i="15" s="1"/>
  <c r="F85" i="15"/>
  <c r="C84" i="15"/>
  <c r="F80" i="15"/>
  <c r="F77" i="15"/>
  <c r="C76" i="15"/>
  <c r="C75" i="15"/>
  <c r="C86" i="15" s="1"/>
  <c r="F73" i="15"/>
  <c r="F72" i="15"/>
  <c r="C71" i="15"/>
  <c r="F69" i="15"/>
  <c r="F62" i="15"/>
  <c r="C60" i="15"/>
  <c r="C59" i="15"/>
  <c r="F59" i="15" s="1"/>
  <c r="C58" i="15"/>
  <c r="C57" i="15"/>
  <c r="C61" i="15" s="1"/>
  <c r="C56" i="15"/>
  <c r="C63" i="15" s="1"/>
  <c r="C48" i="15"/>
  <c r="F48" i="15" s="1"/>
  <c r="F47" i="15"/>
  <c r="C46" i="15"/>
  <c r="C42" i="15"/>
  <c r="F41" i="15"/>
  <c r="C39" i="15"/>
  <c r="F39" i="15" s="1"/>
  <c r="C38" i="15"/>
  <c r="C37" i="15"/>
  <c r="F36" i="15"/>
  <c r="C35" i="15"/>
  <c r="C33" i="15"/>
  <c r="F32" i="15"/>
  <c r="C32" i="15"/>
  <c r="C31" i="15"/>
  <c r="C19" i="15"/>
  <c r="F19" i="15" s="1"/>
  <c r="C18" i="15"/>
  <c r="C17" i="15"/>
  <c r="F17" i="15" s="1"/>
  <c r="C16" i="15"/>
  <c r="C20" i="15" s="1"/>
  <c r="C12" i="15"/>
  <c r="C11" i="15"/>
  <c r="F11" i="15" s="1"/>
  <c r="C10" i="15"/>
  <c r="C9" i="15"/>
  <c r="F9" i="15" s="1"/>
  <c r="F8" i="15"/>
  <c r="C8" i="15"/>
  <c r="C6" i="15"/>
  <c r="F6" i="15" s="1"/>
  <c r="F5" i="15"/>
  <c r="C5" i="15"/>
  <c r="G5" i="15" s="1"/>
  <c r="D19" i="14"/>
  <c r="D18" i="14"/>
  <c r="D16" i="14"/>
  <c r="C16" i="14"/>
  <c r="D15" i="14"/>
  <c r="C15" i="14"/>
  <c r="D14" i="14"/>
  <c r="D13" i="14"/>
  <c r="D12" i="14"/>
  <c r="D11" i="14"/>
  <c r="D10" i="14"/>
  <c r="C10" i="14"/>
  <c r="C17" i="14" s="1"/>
  <c r="C18" i="14" s="1"/>
  <c r="C20" i="14" s="1"/>
  <c r="F2" i="15" s="1"/>
  <c r="F137" i="15" s="1"/>
  <c r="D9" i="14"/>
  <c r="D8" i="14"/>
  <c r="D7" i="14"/>
  <c r="D6" i="14"/>
  <c r="C155" i="13"/>
  <c r="C154" i="13"/>
  <c r="C151" i="13"/>
  <c r="C145" i="13"/>
  <c r="C144" i="13"/>
  <c r="C143" i="13"/>
  <c r="C146" i="13" s="1"/>
  <c r="C141" i="13"/>
  <c r="C136" i="13"/>
  <c r="C135" i="13"/>
  <c r="C130" i="13"/>
  <c r="C129" i="13"/>
  <c r="C128" i="13"/>
  <c r="C121" i="13"/>
  <c r="C124" i="13" s="1"/>
  <c r="C147" i="13" s="1"/>
  <c r="C113" i="13"/>
  <c r="C112" i="13"/>
  <c r="C114" i="13" s="1"/>
  <c r="C111" i="13"/>
  <c r="C109" i="13"/>
  <c r="C108" i="13"/>
  <c r="C106" i="13"/>
  <c r="C99" i="13"/>
  <c r="C102" i="13" s="1"/>
  <c r="C98" i="13"/>
  <c r="C96" i="13"/>
  <c r="C93" i="13"/>
  <c r="C91" i="13"/>
  <c r="C84" i="13"/>
  <c r="C76" i="13"/>
  <c r="C71" i="13"/>
  <c r="C63" i="13"/>
  <c r="C60" i="13"/>
  <c r="C59" i="13"/>
  <c r="C58" i="13"/>
  <c r="C57" i="13"/>
  <c r="C61" i="13" s="1"/>
  <c r="C56" i="13"/>
  <c r="C48" i="13"/>
  <c r="C46" i="13"/>
  <c r="C42" i="13"/>
  <c r="C39" i="13"/>
  <c r="C38" i="13"/>
  <c r="C37" i="13"/>
  <c r="C40" i="13" s="1"/>
  <c r="C35" i="13"/>
  <c r="C33" i="13"/>
  <c r="C32" i="13"/>
  <c r="C31" i="13"/>
  <c r="C20" i="13"/>
  <c r="C19" i="13"/>
  <c r="C18" i="13"/>
  <c r="C17" i="13"/>
  <c r="C16" i="13"/>
  <c r="C12" i="13"/>
  <c r="C11" i="13"/>
  <c r="C10" i="13"/>
  <c r="C9" i="13"/>
  <c r="C13" i="13" s="1"/>
  <c r="C8" i="13"/>
  <c r="C6" i="13"/>
  <c r="G5" i="13"/>
  <c r="C5" i="13"/>
  <c r="D19" i="12"/>
  <c r="D16" i="12"/>
  <c r="D15" i="12"/>
  <c r="D14" i="12"/>
  <c r="D13" i="12"/>
  <c r="D12" i="12"/>
  <c r="D11" i="12"/>
  <c r="C10" i="12"/>
  <c r="D10" i="12" s="1"/>
  <c r="D9" i="12"/>
  <c r="D8" i="12"/>
  <c r="D7" i="12"/>
  <c r="D6" i="12"/>
  <c r="D4" i="12" s="1"/>
  <c r="F157" i="11"/>
  <c r="C156" i="11"/>
  <c r="C155" i="11"/>
  <c r="C154" i="11"/>
  <c r="F154" i="11" s="1"/>
  <c r="C151" i="11"/>
  <c r="F151" i="11" s="1"/>
  <c r="C145" i="11"/>
  <c r="F144" i="11"/>
  <c r="C144" i="11"/>
  <c r="C143" i="11"/>
  <c r="C141" i="11"/>
  <c r="F138" i="11"/>
  <c r="F137" i="11"/>
  <c r="C136" i="11"/>
  <c r="C135" i="11"/>
  <c r="F134" i="11"/>
  <c r="F133" i="11"/>
  <c r="C130" i="11"/>
  <c r="C129" i="11"/>
  <c r="C128" i="11"/>
  <c r="F126" i="11"/>
  <c r="C121" i="11"/>
  <c r="C124" i="11" s="1"/>
  <c r="C114" i="11"/>
  <c r="C113" i="11"/>
  <c r="C112" i="11"/>
  <c r="F112" i="11" s="1"/>
  <c r="C111" i="11"/>
  <c r="C109" i="11"/>
  <c r="C108" i="11"/>
  <c r="C110" i="11" s="1"/>
  <c r="C106" i="11"/>
  <c r="F98" i="11"/>
  <c r="C98" i="11"/>
  <c r="C96" i="11"/>
  <c r="C99" i="11" s="1"/>
  <c r="C102" i="11" s="1"/>
  <c r="F92" i="11"/>
  <c r="F91" i="11"/>
  <c r="C91" i="11"/>
  <c r="C93" i="11" s="1"/>
  <c r="C84" i="11"/>
  <c r="F81" i="11"/>
  <c r="C76" i="11"/>
  <c r="C75" i="11"/>
  <c r="C86" i="11" s="1"/>
  <c r="C71" i="11"/>
  <c r="F70" i="11"/>
  <c r="C61" i="11"/>
  <c r="C60" i="11"/>
  <c r="C59" i="11"/>
  <c r="C58" i="11"/>
  <c r="F57" i="11"/>
  <c r="C57" i="11"/>
  <c r="C56" i="11"/>
  <c r="C63" i="11" s="1"/>
  <c r="F54" i="11"/>
  <c r="C50" i="11"/>
  <c r="C48" i="11"/>
  <c r="C46" i="11"/>
  <c r="C42" i="11"/>
  <c r="C39" i="11"/>
  <c r="F38" i="11"/>
  <c r="C38" i="11"/>
  <c r="C37" i="11"/>
  <c r="C35" i="11"/>
  <c r="C33" i="11"/>
  <c r="C32" i="11"/>
  <c r="C31" i="11"/>
  <c r="F31" i="11" s="1"/>
  <c r="F30" i="11"/>
  <c r="C19" i="11"/>
  <c r="C18" i="11"/>
  <c r="F17" i="11"/>
  <c r="C17" i="11"/>
  <c r="C16" i="11"/>
  <c r="F12" i="11"/>
  <c r="C12" i="11"/>
  <c r="C11" i="11"/>
  <c r="F10" i="11"/>
  <c r="C10" i="11"/>
  <c r="C9" i="11"/>
  <c r="C8" i="11"/>
  <c r="F6" i="11"/>
  <c r="C6" i="11"/>
  <c r="C5" i="11"/>
  <c r="G5" i="11" s="1"/>
  <c r="D19" i="10"/>
  <c r="D16" i="10"/>
  <c r="D15" i="10"/>
  <c r="D14" i="10"/>
  <c r="D13" i="10"/>
  <c r="D12" i="10"/>
  <c r="D11" i="10"/>
  <c r="D10" i="10"/>
  <c r="C10" i="10"/>
  <c r="C17" i="10" s="1"/>
  <c r="C18" i="10" s="1"/>
  <c r="C20" i="10" s="1"/>
  <c r="F2" i="11" s="1"/>
  <c r="F108" i="11" s="1"/>
  <c r="D9" i="10"/>
  <c r="D8" i="10"/>
  <c r="D4" i="10" s="1"/>
  <c r="D7" i="10"/>
  <c r="D6" i="10"/>
  <c r="C156" i="9"/>
  <c r="C155" i="9"/>
  <c r="C154" i="9"/>
  <c r="C151" i="9"/>
  <c r="C146" i="9"/>
  <c r="C145" i="9"/>
  <c r="C144" i="9"/>
  <c r="C143" i="9"/>
  <c r="C141" i="9"/>
  <c r="C136" i="9"/>
  <c r="C135" i="9"/>
  <c r="C130" i="9"/>
  <c r="C129" i="9"/>
  <c r="C128" i="9"/>
  <c r="C121" i="9"/>
  <c r="C113" i="9"/>
  <c r="C112" i="9"/>
  <c r="C114" i="9" s="1"/>
  <c r="C111" i="9"/>
  <c r="C109" i="9"/>
  <c r="C108" i="9"/>
  <c r="C110" i="9" s="1"/>
  <c r="C116" i="9" s="1"/>
  <c r="C106" i="9"/>
  <c r="C98" i="9"/>
  <c r="C96" i="9"/>
  <c r="C91" i="9"/>
  <c r="C93" i="9" s="1"/>
  <c r="C84" i="9"/>
  <c r="C76" i="9"/>
  <c r="C75" i="9"/>
  <c r="C86" i="9" s="1"/>
  <c r="C71" i="9"/>
  <c r="C60" i="9"/>
  <c r="C59" i="9"/>
  <c r="C58" i="9"/>
  <c r="C57" i="9"/>
  <c r="C56" i="9"/>
  <c r="C63" i="9" s="1"/>
  <c r="C50" i="9"/>
  <c r="C48" i="9"/>
  <c r="C46" i="9"/>
  <c r="C39" i="9"/>
  <c r="C38" i="9"/>
  <c r="C40" i="9" s="1"/>
  <c r="C37" i="9"/>
  <c r="C35" i="9"/>
  <c r="C42" i="9" s="1"/>
  <c r="C32" i="9"/>
  <c r="C31" i="9"/>
  <c r="C19" i="9"/>
  <c r="C18" i="9"/>
  <c r="C17" i="9"/>
  <c r="C16" i="9"/>
  <c r="C12" i="9"/>
  <c r="C11" i="9"/>
  <c r="C10" i="9"/>
  <c r="C9" i="9"/>
  <c r="C8" i="9"/>
  <c r="C6" i="9"/>
  <c r="C5" i="9"/>
  <c r="D19" i="8"/>
  <c r="D16" i="8"/>
  <c r="D15" i="8"/>
  <c r="D14" i="8"/>
  <c r="C14" i="8"/>
  <c r="C17" i="8" s="1"/>
  <c r="C18" i="8" s="1"/>
  <c r="D13" i="8"/>
  <c r="D12" i="8"/>
  <c r="D11" i="8"/>
  <c r="D10" i="8"/>
  <c r="C10" i="8"/>
  <c r="D9" i="8"/>
  <c r="D8" i="8"/>
  <c r="D4" i="8" s="1"/>
  <c r="D7" i="8"/>
  <c r="D6" i="8"/>
  <c r="C155" i="7"/>
  <c r="C154" i="7"/>
  <c r="C151" i="7"/>
  <c r="C146" i="7"/>
  <c r="C145" i="7"/>
  <c r="C144" i="7"/>
  <c r="C143" i="7"/>
  <c r="C141" i="7"/>
  <c r="C136" i="7"/>
  <c r="C135" i="7"/>
  <c r="C130" i="7"/>
  <c r="C129" i="7"/>
  <c r="C128" i="7"/>
  <c r="C124" i="7"/>
  <c r="C147" i="7" s="1"/>
  <c r="C121" i="7"/>
  <c r="C113" i="7"/>
  <c r="C112" i="7"/>
  <c r="C111" i="7"/>
  <c r="C110" i="7"/>
  <c r="C109" i="7"/>
  <c r="C108" i="7"/>
  <c r="C106" i="7"/>
  <c r="C98" i="7"/>
  <c r="C96" i="7"/>
  <c r="C91" i="7"/>
  <c r="C93" i="7" s="1"/>
  <c r="C84" i="7"/>
  <c r="C76" i="7"/>
  <c r="C75" i="7"/>
  <c r="C71" i="7"/>
  <c r="C61" i="7"/>
  <c r="C60" i="7"/>
  <c r="C59" i="7"/>
  <c r="C58" i="7"/>
  <c r="C57" i="7"/>
  <c r="C56" i="7"/>
  <c r="C63" i="7" s="1"/>
  <c r="C50" i="7"/>
  <c r="C48" i="7"/>
  <c r="C46" i="7"/>
  <c r="C39" i="7"/>
  <c r="C38" i="7"/>
  <c r="C40" i="7" s="1"/>
  <c r="C37" i="7"/>
  <c r="C35" i="7"/>
  <c r="C42" i="7" s="1"/>
  <c r="C32" i="7"/>
  <c r="C31" i="7"/>
  <c r="C33" i="7" s="1"/>
  <c r="C19" i="7"/>
  <c r="C18" i="7"/>
  <c r="C17" i="7"/>
  <c r="C16" i="7"/>
  <c r="C20" i="7" s="1"/>
  <c r="C12" i="7"/>
  <c r="C11" i="7"/>
  <c r="C10" i="7"/>
  <c r="C9" i="7"/>
  <c r="C8" i="7"/>
  <c r="C6" i="7"/>
  <c r="C5" i="7"/>
  <c r="D19" i="6"/>
  <c r="D16" i="6"/>
  <c r="D15" i="6"/>
  <c r="D14" i="6"/>
  <c r="C14" i="6"/>
  <c r="C17" i="6" s="1"/>
  <c r="C18" i="6" s="1"/>
  <c r="D13" i="6"/>
  <c r="D12" i="6"/>
  <c r="D11" i="6"/>
  <c r="D10" i="6"/>
  <c r="D9" i="6"/>
  <c r="D8" i="6"/>
  <c r="D7" i="6"/>
  <c r="D6" i="6"/>
  <c r="C155" i="5"/>
  <c r="C154" i="5"/>
  <c r="C156" i="5" s="1"/>
  <c r="F152" i="5"/>
  <c r="C151" i="5"/>
  <c r="C146" i="5"/>
  <c r="F145" i="5"/>
  <c r="C145" i="5"/>
  <c r="C144" i="5"/>
  <c r="C143" i="5"/>
  <c r="C141" i="5"/>
  <c r="C136" i="5"/>
  <c r="C135" i="5"/>
  <c r="C130" i="5"/>
  <c r="C129" i="5"/>
  <c r="C128" i="5"/>
  <c r="F123" i="5"/>
  <c r="C121" i="5"/>
  <c r="C124" i="5" s="1"/>
  <c r="F115" i="5"/>
  <c r="C113" i="5"/>
  <c r="C112" i="5"/>
  <c r="C114" i="5" s="1"/>
  <c r="C111" i="5"/>
  <c r="C109" i="5"/>
  <c r="C108" i="5"/>
  <c r="F108" i="5" s="1"/>
  <c r="C106" i="5"/>
  <c r="F100" i="5"/>
  <c r="C98" i="5"/>
  <c r="C96" i="5"/>
  <c r="F95" i="5"/>
  <c r="C93" i="5"/>
  <c r="C91" i="5"/>
  <c r="C84" i="5"/>
  <c r="F78" i="5"/>
  <c r="C76" i="5"/>
  <c r="F71" i="5"/>
  <c r="C71" i="5"/>
  <c r="C75" i="5" s="1"/>
  <c r="C86" i="5" s="1"/>
  <c r="C63" i="5"/>
  <c r="F60" i="5"/>
  <c r="C60" i="5"/>
  <c r="C59" i="5"/>
  <c r="C58" i="5"/>
  <c r="F58" i="5" s="1"/>
  <c r="C57" i="5"/>
  <c r="C56" i="5"/>
  <c r="F49" i="5"/>
  <c r="C48" i="5"/>
  <c r="C46" i="5"/>
  <c r="C50" i="5" s="1"/>
  <c r="C39" i="5"/>
  <c r="C38" i="5"/>
  <c r="F38" i="5" s="1"/>
  <c r="C37" i="5"/>
  <c r="C35" i="5"/>
  <c r="C42" i="5" s="1"/>
  <c r="F34" i="5"/>
  <c r="C32" i="5"/>
  <c r="C31" i="5"/>
  <c r="C33" i="5" s="1"/>
  <c r="F24" i="5"/>
  <c r="C19" i="5"/>
  <c r="C18" i="5"/>
  <c r="F18" i="5" s="1"/>
  <c r="C17" i="5"/>
  <c r="C16" i="5"/>
  <c r="C12" i="5"/>
  <c r="C11" i="5"/>
  <c r="F11" i="5" s="1"/>
  <c r="C10" i="5"/>
  <c r="C9" i="5"/>
  <c r="C13" i="5" s="1"/>
  <c r="C8" i="5"/>
  <c r="C6" i="5"/>
  <c r="G5" i="5"/>
  <c r="C5" i="5"/>
  <c r="C20" i="4"/>
  <c r="F2" i="5" s="1"/>
  <c r="D19" i="4"/>
  <c r="C17" i="4"/>
  <c r="C18" i="4" s="1"/>
  <c r="D18" i="4" s="1"/>
  <c r="D16" i="4"/>
  <c r="C16" i="4"/>
  <c r="D15" i="4"/>
  <c r="D14" i="4"/>
  <c r="C14" i="4"/>
  <c r="D13" i="4"/>
  <c r="D12" i="4"/>
  <c r="D11" i="4"/>
  <c r="D10" i="4"/>
  <c r="D9" i="4"/>
  <c r="D8" i="4"/>
  <c r="D7" i="4"/>
  <c r="D6" i="4"/>
  <c r="E22" i="3"/>
  <c r="D22" i="3"/>
  <c r="D24" i="3" s="1"/>
  <c r="C22" i="3"/>
  <c r="F21" i="3"/>
  <c r="F20" i="3"/>
  <c r="F19" i="3"/>
  <c r="E18" i="3"/>
  <c r="F18" i="3" s="1"/>
  <c r="F17" i="3"/>
  <c r="F16" i="3"/>
  <c r="E15" i="3"/>
  <c r="F15" i="3" s="1"/>
  <c r="F14" i="3"/>
  <c r="E14" i="3"/>
  <c r="E13" i="3"/>
  <c r="F13" i="3" s="1"/>
  <c r="F12" i="3"/>
  <c r="E12" i="3"/>
  <c r="E11" i="3"/>
  <c r="F11" i="3" s="1"/>
  <c r="F10" i="3"/>
  <c r="E10" i="3"/>
  <c r="E9" i="3"/>
  <c r="F9" i="3" s="1"/>
  <c r="F8" i="3"/>
  <c r="F7" i="3"/>
  <c r="F6" i="3"/>
  <c r="F5" i="3"/>
  <c r="F4" i="3"/>
  <c r="F22" i="3" s="1"/>
  <c r="E4" i="3"/>
  <c r="E3" i="3"/>
  <c r="F3" i="3" s="1"/>
  <c r="C22" i="2"/>
  <c r="E21" i="2"/>
  <c r="E20" i="2"/>
  <c r="E19" i="2"/>
  <c r="D18" i="2"/>
  <c r="E18" i="2" s="1"/>
  <c r="E17" i="2"/>
  <c r="E16" i="2"/>
  <c r="D15" i="2"/>
  <c r="E15" i="2" s="1"/>
  <c r="E14" i="2"/>
  <c r="D14" i="2"/>
  <c r="D13" i="2"/>
  <c r="E13" i="2" s="1"/>
  <c r="E12" i="2"/>
  <c r="D12" i="2"/>
  <c r="D11" i="2"/>
  <c r="E11" i="2" s="1"/>
  <c r="E10" i="2"/>
  <c r="D10" i="2"/>
  <c r="D9" i="2"/>
  <c r="E9" i="2" s="1"/>
  <c r="E8" i="2"/>
  <c r="E7" i="2"/>
  <c r="E6" i="2"/>
  <c r="D5" i="2"/>
  <c r="E5" i="2" s="1"/>
  <c r="E4" i="2"/>
  <c r="D4" i="2"/>
  <c r="D3" i="2"/>
  <c r="D22" i="2" s="1"/>
  <c r="I31" i="1"/>
  <c r="BZ23" i="1"/>
  <c r="BY23" i="1"/>
  <c r="BW23" i="1"/>
  <c r="BV23" i="1"/>
  <c r="BT23" i="1"/>
  <c r="BS23" i="1"/>
  <c r="BQ23" i="1"/>
  <c r="BP23" i="1"/>
  <c r="BN23" i="1"/>
  <c r="BM23" i="1"/>
  <c r="BK23" i="1"/>
  <c r="BJ23" i="1"/>
  <c r="BH23" i="1"/>
  <c r="BG23" i="1"/>
  <c r="BE23" i="1"/>
  <c r="BD23" i="1"/>
  <c r="BB23" i="1"/>
  <c r="BA23" i="1"/>
  <c r="AY23" i="1"/>
  <c r="AX23" i="1"/>
  <c r="AV23" i="1"/>
  <c r="AU23" i="1"/>
  <c r="AS23" i="1"/>
  <c r="AR23" i="1"/>
  <c r="AP23" i="1"/>
  <c r="AO23" i="1"/>
  <c r="AM23" i="1"/>
  <c r="AL23" i="1"/>
  <c r="AJ23" i="1"/>
  <c r="AI23" i="1"/>
  <c r="AG23" i="1"/>
  <c r="AF23" i="1"/>
  <c r="AD23" i="1"/>
  <c r="AC23" i="1"/>
  <c r="AA23" i="1"/>
  <c r="Z23" i="1"/>
  <c r="X23" i="1"/>
  <c r="W23" i="1"/>
  <c r="U23" i="1"/>
  <c r="T23" i="1"/>
  <c r="R23" i="1"/>
  <c r="Q23" i="1"/>
  <c r="O23" i="1"/>
  <c r="N23" i="1"/>
  <c r="L23" i="1"/>
  <c r="K23" i="1"/>
  <c r="C21" i="1"/>
  <c r="C22" i="1" s="1"/>
  <c r="C25" i="1" s="1"/>
  <c r="BZ20" i="1"/>
  <c r="BY20" i="1"/>
  <c r="BX20" i="1"/>
  <c r="BW20" i="1"/>
  <c r="BV20" i="1"/>
  <c r="BU20" i="1"/>
  <c r="BR20" i="1"/>
  <c r="BP20" i="1"/>
  <c r="BO20" i="1"/>
  <c r="BM20" i="1"/>
  <c r="BL20" i="1"/>
  <c r="BJ20" i="1"/>
  <c r="BI20" i="1"/>
  <c r="BF20" i="1"/>
  <c r="BD20" i="1"/>
  <c r="BC20" i="1"/>
  <c r="AZ20" i="1"/>
  <c r="AX20" i="1"/>
  <c r="AW20" i="1"/>
  <c r="AT20" i="1"/>
  <c r="AQ20" i="1"/>
  <c r="AN20" i="1"/>
  <c r="AM20" i="1"/>
  <c r="AL20" i="1"/>
  <c r="AK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Z19" i="1"/>
  <c r="BY19" i="1"/>
  <c r="BX19" i="1"/>
  <c r="BW19" i="1"/>
  <c r="BV19" i="1"/>
  <c r="BU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Q19" i="1"/>
  <c r="AP19" i="1"/>
  <c r="AO19" i="1"/>
  <c r="AN19" i="1"/>
  <c r="AM19" i="1"/>
  <c r="AL19" i="1"/>
  <c r="AK19" i="1"/>
  <c r="AI19" i="1"/>
  <c r="AH19" i="1"/>
  <c r="AG19" i="1"/>
  <c r="AF19" i="1"/>
  <c r="AE19" i="1"/>
  <c r="AB19" i="1"/>
  <c r="Z19" i="1"/>
  <c r="Y19" i="1"/>
  <c r="W19" i="1"/>
  <c r="V19" i="1"/>
  <c r="U19" i="1"/>
  <c r="T19" i="1"/>
  <c r="S19" i="1"/>
  <c r="R19" i="1"/>
  <c r="Q19" i="1"/>
  <c r="P19" i="1"/>
  <c r="O19" i="1"/>
  <c r="N19" i="1"/>
  <c r="M19" i="1"/>
  <c r="K19" i="1"/>
  <c r="J19" i="1"/>
  <c r="I19" i="1"/>
  <c r="H19" i="1"/>
  <c r="H21" i="1" s="1"/>
  <c r="G19" i="1"/>
  <c r="G21" i="1" s="1"/>
  <c r="F19" i="1"/>
  <c r="E19" i="1"/>
  <c r="D19" i="1"/>
  <c r="D21" i="1" s="1"/>
  <c r="C19" i="1"/>
  <c r="BZ18" i="1"/>
  <c r="BY18" i="1"/>
  <c r="BX18" i="1"/>
  <c r="BX21" i="1" s="1"/>
  <c r="BX24" i="1" s="1"/>
  <c r="BX25" i="1" s="1"/>
  <c r="BW18" i="1"/>
  <c r="BV18" i="1"/>
  <c r="BU18" i="1"/>
  <c r="BS18" i="1"/>
  <c r="BR18" i="1"/>
  <c r="BQ18" i="1"/>
  <c r="BP18" i="1"/>
  <c r="BO18" i="1"/>
  <c r="BO21" i="1" s="1"/>
  <c r="BO24" i="1" s="1"/>
  <c r="BO25" i="1" s="1"/>
  <c r="BN18" i="1"/>
  <c r="BM18" i="1"/>
  <c r="BL18" i="1"/>
  <c r="BL21" i="1" s="1"/>
  <c r="BL24" i="1" s="1"/>
  <c r="BL25" i="1" s="1"/>
  <c r="BK18" i="1"/>
  <c r="BJ18" i="1"/>
  <c r="BI18" i="1"/>
  <c r="BH18" i="1"/>
  <c r="BG18" i="1"/>
  <c r="BF18" i="1"/>
  <c r="BE18" i="1"/>
  <c r="BD18" i="1"/>
  <c r="BC18" i="1"/>
  <c r="BC21" i="1" s="1"/>
  <c r="BC24" i="1" s="1"/>
  <c r="BC25" i="1" s="1"/>
  <c r="BB18" i="1"/>
  <c r="BA18" i="1"/>
  <c r="AZ18" i="1"/>
  <c r="AZ21" i="1" s="1"/>
  <c r="AZ24" i="1" s="1"/>
  <c r="AZ25" i="1" s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N21" i="1" s="1"/>
  <c r="AN24" i="1" s="1"/>
  <c r="AN25" i="1" s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B21" i="1" s="1"/>
  <c r="AB24" i="1" s="1"/>
  <c r="AB25" i="1" s="1"/>
  <c r="AA18" i="1"/>
  <c r="Z18" i="1"/>
  <c r="Y18" i="1"/>
  <c r="W18" i="1"/>
  <c r="V18" i="1"/>
  <c r="U18" i="1"/>
  <c r="T18" i="1"/>
  <c r="S18" i="1"/>
  <c r="S21" i="1" s="1"/>
  <c r="Q18" i="1"/>
  <c r="P18" i="1"/>
  <c r="O18" i="1"/>
  <c r="N18" i="1"/>
  <c r="M18" i="1"/>
  <c r="K18" i="1"/>
  <c r="J18" i="1"/>
  <c r="I18" i="1"/>
  <c r="G18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M17" i="1"/>
  <c r="BL17" i="1"/>
  <c r="BK17" i="1"/>
  <c r="BJ17" i="1"/>
  <c r="BI17" i="1"/>
  <c r="BG17" i="1"/>
  <c r="BF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K17" i="1"/>
  <c r="AJ17" i="1"/>
  <c r="AI17" i="1"/>
  <c r="AH17" i="1"/>
  <c r="AF17" i="1"/>
  <c r="AE17" i="1"/>
  <c r="AB17" i="1"/>
  <c r="Z17" i="1"/>
  <c r="Y17" i="1"/>
  <c r="S17" i="1"/>
  <c r="O17" i="1"/>
  <c r="N17" i="1"/>
  <c r="M17" i="1"/>
  <c r="K17" i="1"/>
  <c r="J17" i="1"/>
  <c r="I17" i="1"/>
  <c r="H17" i="1"/>
  <c r="G17" i="1"/>
  <c r="F17" i="1"/>
  <c r="E17" i="1"/>
  <c r="D17" i="1"/>
  <c r="C17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L16" i="1"/>
  <c r="BK16" i="1"/>
  <c r="BJ16" i="1"/>
  <c r="BI16" i="1"/>
  <c r="BH16" i="1"/>
  <c r="BG16" i="1"/>
  <c r="BF16" i="1"/>
  <c r="BC16" i="1"/>
  <c r="AZ16" i="1"/>
  <c r="AX16" i="1"/>
  <c r="AW16" i="1"/>
  <c r="AV16" i="1"/>
  <c r="AU16" i="1"/>
  <c r="AT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B16" i="1"/>
  <c r="AA16" i="1"/>
  <c r="Z16" i="1"/>
  <c r="Y16" i="1"/>
  <c r="X16" i="1"/>
  <c r="W16" i="1"/>
  <c r="V16" i="1"/>
  <c r="T16" i="1"/>
  <c r="S16" i="1"/>
  <c r="R16" i="1"/>
  <c r="Q16" i="1"/>
  <c r="P16" i="1"/>
  <c r="O16" i="1"/>
  <c r="N16" i="1"/>
  <c r="M16" i="1"/>
  <c r="J16" i="1"/>
  <c r="I16" i="1"/>
  <c r="H16" i="1"/>
  <c r="G16" i="1"/>
  <c r="F16" i="1"/>
  <c r="E16" i="1"/>
  <c r="D16" i="1"/>
  <c r="C16" i="1"/>
  <c r="BY15" i="1"/>
  <c r="BX15" i="1"/>
  <c r="BW15" i="1"/>
  <c r="BV15" i="1"/>
  <c r="BU15" i="1"/>
  <c r="BS15" i="1"/>
  <c r="BR15" i="1"/>
  <c r="BQ15" i="1"/>
  <c r="BP15" i="1"/>
  <c r="BO15" i="1"/>
  <c r="BN15" i="1"/>
  <c r="BM15" i="1"/>
  <c r="BL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BX14" i="1"/>
  <c r="BW14" i="1"/>
  <c r="BV14" i="1"/>
  <c r="BU14" i="1"/>
  <c r="BT14" i="1"/>
  <c r="BS14" i="1"/>
  <c r="BR14" i="1"/>
  <c r="BO14" i="1"/>
  <c r="BN14" i="1"/>
  <c r="BM14" i="1"/>
  <c r="BL14" i="1"/>
  <c r="BJ14" i="1"/>
  <c r="BI14" i="1"/>
  <c r="BH14" i="1"/>
  <c r="BG14" i="1"/>
  <c r="BF14" i="1"/>
  <c r="BE14" i="1"/>
  <c r="BD14" i="1"/>
  <c r="BC14" i="1"/>
  <c r="AZ14" i="1"/>
  <c r="AX14" i="1"/>
  <c r="AW14" i="1"/>
  <c r="AU14" i="1"/>
  <c r="AT14" i="1"/>
  <c r="AS14" i="1"/>
  <c r="AR14" i="1"/>
  <c r="AQ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Y14" i="1"/>
  <c r="V14" i="1"/>
  <c r="U14" i="1"/>
  <c r="T14" i="1"/>
  <c r="S14" i="1"/>
  <c r="R14" i="1"/>
  <c r="Q14" i="1"/>
  <c r="P14" i="1"/>
  <c r="M14" i="1"/>
  <c r="L14" i="1"/>
  <c r="K14" i="1"/>
  <c r="J14" i="1"/>
  <c r="I14" i="1"/>
  <c r="H14" i="1"/>
  <c r="G14" i="1"/>
  <c r="F14" i="1"/>
  <c r="E14" i="1"/>
  <c r="D14" i="1"/>
  <c r="C14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A13" i="1"/>
  <c r="AZ13" i="1"/>
  <c r="AY13" i="1"/>
  <c r="AX13" i="1"/>
  <c r="AW13" i="1"/>
  <c r="AU13" i="1"/>
  <c r="AT13" i="1"/>
  <c r="AR13" i="1"/>
  <c r="AQ13" i="1"/>
  <c r="AP13" i="1"/>
  <c r="AO13" i="1"/>
  <c r="AN13" i="1"/>
  <c r="AM13" i="1"/>
  <c r="AL13" i="1"/>
  <c r="AK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BZ12" i="1"/>
  <c r="BY12" i="1"/>
  <c r="BX12" i="1"/>
  <c r="BU12" i="1"/>
  <c r="BS12" i="1"/>
  <c r="BR12" i="1"/>
  <c r="BQ12" i="1"/>
  <c r="BP12" i="1"/>
  <c r="BO12" i="1"/>
  <c r="BM12" i="1"/>
  <c r="BL12" i="1"/>
  <c r="BJ12" i="1"/>
  <c r="BI12" i="1"/>
  <c r="BF12" i="1"/>
  <c r="BE12" i="1"/>
  <c r="BD12" i="1"/>
  <c r="BC12" i="1"/>
  <c r="BB12" i="1"/>
  <c r="BA12" i="1"/>
  <c r="AZ12" i="1"/>
  <c r="AX12" i="1"/>
  <c r="AW12" i="1"/>
  <c r="AT12" i="1"/>
  <c r="AP12" i="1"/>
  <c r="AO12" i="1"/>
  <c r="AN12" i="1"/>
  <c r="AK12" i="1"/>
  <c r="AI12" i="1"/>
  <c r="AH12" i="1"/>
  <c r="AC12" i="1"/>
  <c r="AB12" i="1"/>
  <c r="Y12" i="1"/>
  <c r="X12" i="1"/>
  <c r="W12" i="1"/>
  <c r="V12" i="1"/>
  <c r="S12" i="1"/>
  <c r="R12" i="1"/>
  <c r="Q12" i="1"/>
  <c r="P12" i="1"/>
  <c r="M12" i="1"/>
  <c r="J12" i="1"/>
  <c r="I12" i="1"/>
  <c r="H12" i="1"/>
  <c r="G12" i="1"/>
  <c r="F12" i="1"/>
  <c r="E12" i="1"/>
  <c r="D12" i="1"/>
  <c r="C12" i="1"/>
  <c r="BZ11" i="1"/>
  <c r="BY11" i="1"/>
  <c r="BX11" i="1"/>
  <c r="BV11" i="1"/>
  <c r="BU11" i="1"/>
  <c r="BT11" i="1"/>
  <c r="BS11" i="1"/>
  <c r="BR11" i="1"/>
  <c r="BP11" i="1"/>
  <c r="BO11" i="1"/>
  <c r="BM11" i="1"/>
  <c r="BL11" i="1"/>
  <c r="BK11" i="1"/>
  <c r="BJ11" i="1"/>
  <c r="BI11" i="1"/>
  <c r="BH11" i="1"/>
  <c r="BG11" i="1"/>
  <c r="BF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F11" i="1"/>
  <c r="AE11" i="1"/>
  <c r="AD11" i="1"/>
  <c r="AC11" i="1"/>
  <c r="AB11" i="1"/>
  <c r="AA11" i="1"/>
  <c r="Z11" i="1"/>
  <c r="Y11" i="1"/>
  <c r="W11" i="1"/>
  <c r="V11" i="1"/>
  <c r="U11" i="1"/>
  <c r="S11" i="1"/>
  <c r="R11" i="1"/>
  <c r="Q11" i="1"/>
  <c r="P11" i="1"/>
  <c r="O11" i="1"/>
  <c r="N11" i="1"/>
  <c r="M11" i="1"/>
  <c r="J11" i="1"/>
  <c r="I11" i="1"/>
  <c r="H11" i="1"/>
  <c r="G11" i="1"/>
  <c r="F11" i="1"/>
  <c r="E11" i="1"/>
  <c r="D11" i="1"/>
  <c r="C11" i="1"/>
  <c r="BX10" i="1"/>
  <c r="BV10" i="1"/>
  <c r="BU10" i="1"/>
  <c r="BT10" i="1"/>
  <c r="BS10" i="1"/>
  <c r="BR10" i="1"/>
  <c r="BP10" i="1"/>
  <c r="BO10" i="1"/>
  <c r="BL10" i="1"/>
  <c r="BJ10" i="1"/>
  <c r="BI10" i="1"/>
  <c r="BH10" i="1"/>
  <c r="BG10" i="1"/>
  <c r="BF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Y10" i="1"/>
  <c r="V10" i="1"/>
  <c r="S10" i="1"/>
  <c r="R10" i="1"/>
  <c r="Q10" i="1"/>
  <c r="P10" i="1"/>
  <c r="M10" i="1"/>
  <c r="J10" i="1"/>
  <c r="I10" i="1"/>
  <c r="H10" i="1"/>
  <c r="G10" i="1"/>
  <c r="F10" i="1"/>
  <c r="E10" i="1"/>
  <c r="D10" i="1"/>
  <c r="C10" i="1"/>
  <c r="BY9" i="1"/>
  <c r="BX9" i="1"/>
  <c r="BW9" i="1"/>
  <c r="BV9" i="1"/>
  <c r="BU9" i="1"/>
  <c r="BT9" i="1"/>
  <c r="BS9" i="1"/>
  <c r="BR9" i="1"/>
  <c r="BP9" i="1"/>
  <c r="BO9" i="1"/>
  <c r="BN9" i="1"/>
  <c r="BM9" i="1"/>
  <c r="BL9" i="1"/>
  <c r="BJ9" i="1"/>
  <c r="BI9" i="1"/>
  <c r="BG9" i="1"/>
  <c r="BF9" i="1"/>
  <c r="BD9" i="1"/>
  <c r="BC9" i="1"/>
  <c r="BB9" i="1"/>
  <c r="BA9" i="1"/>
  <c r="AZ9" i="1"/>
  <c r="AY9" i="1"/>
  <c r="AX9" i="1"/>
  <c r="AW9" i="1"/>
  <c r="AV9" i="1"/>
  <c r="AU9" i="1"/>
  <c r="AT9" i="1"/>
  <c r="AR9" i="1"/>
  <c r="AQ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P9" i="1"/>
  <c r="O9" i="1"/>
  <c r="N9" i="1"/>
  <c r="M9" i="1"/>
  <c r="J9" i="1"/>
  <c r="I9" i="1"/>
  <c r="H9" i="1"/>
  <c r="G9" i="1"/>
  <c r="F9" i="1"/>
  <c r="E9" i="1"/>
  <c r="D9" i="1"/>
  <c r="C9" i="1"/>
  <c r="BZ8" i="1"/>
  <c r="BY8" i="1"/>
  <c r="BX8" i="1"/>
  <c r="BV8" i="1"/>
  <c r="BU8" i="1"/>
  <c r="BU21" i="1" s="1"/>
  <c r="BU24" i="1" s="1"/>
  <c r="BU25" i="1" s="1"/>
  <c r="BS8" i="1"/>
  <c r="BR8" i="1"/>
  <c r="BR21" i="1" s="1"/>
  <c r="BR24" i="1" s="1"/>
  <c r="BR25" i="1" s="1"/>
  <c r="BO8" i="1"/>
  <c r="BM8" i="1"/>
  <c r="BL8" i="1"/>
  <c r="BJ8" i="1"/>
  <c r="BJ21" i="1" s="1"/>
  <c r="BJ24" i="1" s="1"/>
  <c r="BJ25" i="1" s="1"/>
  <c r="BI8" i="1"/>
  <c r="BI21" i="1" s="1"/>
  <c r="BI24" i="1" s="1"/>
  <c r="BI25" i="1" s="1"/>
  <c r="BG8" i="1"/>
  <c r="BF8" i="1"/>
  <c r="BF21" i="1" s="1"/>
  <c r="BF24" i="1" s="1"/>
  <c r="BF25" i="1" s="1"/>
  <c r="BC8" i="1"/>
  <c r="AZ8" i="1"/>
  <c r="AW8" i="1"/>
  <c r="AW21" i="1" s="1"/>
  <c r="AW24" i="1" s="1"/>
  <c r="AW25" i="1" s="1"/>
  <c r="AV8" i="1"/>
  <c r="AU8" i="1"/>
  <c r="AT8" i="1"/>
  <c r="AT21" i="1" s="1"/>
  <c r="AT24" i="1" s="1"/>
  <c r="AT25" i="1" s="1"/>
  <c r="AQ8" i="1"/>
  <c r="AN8" i="1"/>
  <c r="AK8" i="1"/>
  <c r="AK21" i="1" s="1"/>
  <c r="AK24" i="1" s="1"/>
  <c r="AK25" i="1" s="1"/>
  <c r="AJ8" i="1"/>
  <c r="AH8" i="1"/>
  <c r="AH21" i="1" s="1"/>
  <c r="AH24" i="1" s="1"/>
  <c r="AH25" i="1" s="1"/>
  <c r="AF8" i="1"/>
  <c r="AE8" i="1"/>
  <c r="AC8" i="1"/>
  <c r="AB8" i="1"/>
  <c r="Y8" i="1"/>
  <c r="Y21" i="1" s="1"/>
  <c r="Y24" i="1" s="1"/>
  <c r="Y25" i="1" s="1"/>
  <c r="V8" i="1"/>
  <c r="U8" i="1"/>
  <c r="S8" i="1"/>
  <c r="Q8" i="1"/>
  <c r="P8" i="1"/>
  <c r="O8" i="1"/>
  <c r="N8" i="1"/>
  <c r="M8" i="1"/>
  <c r="M21" i="1" s="1"/>
  <c r="J8" i="1"/>
  <c r="J21" i="1" s="1"/>
  <c r="I8" i="1"/>
  <c r="I21" i="1" s="1"/>
  <c r="H8" i="1"/>
  <c r="G8" i="1"/>
  <c r="F8" i="1"/>
  <c r="F21" i="1" s="1"/>
  <c r="E8" i="1"/>
  <c r="E21" i="1" s="1"/>
  <c r="D8" i="1"/>
  <c r="C8" i="1"/>
  <c r="E22" i="1" l="1"/>
  <c r="E25" i="1" s="1"/>
  <c r="D22" i="1"/>
  <c r="D25" i="1" s="1"/>
  <c r="F113" i="7"/>
  <c r="I22" i="1"/>
  <c r="I25" i="1" s="1"/>
  <c r="H24" i="1"/>
  <c r="H22" i="1"/>
  <c r="H25" i="1" s="1"/>
  <c r="C20" i="6"/>
  <c r="F2" i="7" s="1"/>
  <c r="D18" i="6"/>
  <c r="F12" i="9"/>
  <c r="F22" i="1"/>
  <c r="F25" i="1" s="1"/>
  <c r="J24" i="1"/>
  <c r="J22" i="1"/>
  <c r="J25" i="1" s="1"/>
  <c r="BJ30" i="1"/>
  <c r="BJ27" i="1"/>
  <c r="S22" i="1"/>
  <c r="S24" i="1" s="1"/>
  <c r="S25" i="1" s="1"/>
  <c r="F10" i="7"/>
  <c r="F98" i="7"/>
  <c r="C20" i="8"/>
  <c r="F2" i="9" s="1"/>
  <c r="D18" i="8"/>
  <c r="M24" i="1"/>
  <c r="M22" i="1"/>
  <c r="M25" i="1" s="1"/>
  <c r="F10" i="9"/>
  <c r="H7" i="18"/>
  <c r="L10" i="1" s="1"/>
  <c r="K10" i="1"/>
  <c r="G22" i="1"/>
  <c r="G25" i="1" s="1"/>
  <c r="F8" i="7"/>
  <c r="F113" i="9"/>
  <c r="C24" i="1"/>
  <c r="G16" i="5"/>
  <c r="I16" i="5" s="1"/>
  <c r="F16" i="5"/>
  <c r="T20" i="1"/>
  <c r="E3" i="2"/>
  <c r="E22" i="2" s="1"/>
  <c r="F157" i="5"/>
  <c r="F154" i="5"/>
  <c r="F138" i="5"/>
  <c r="F134" i="5"/>
  <c r="F126" i="5"/>
  <c r="F121" i="5"/>
  <c r="F96" i="5"/>
  <c r="F92" i="5"/>
  <c r="F85" i="5"/>
  <c r="F81" i="5"/>
  <c r="F77" i="5"/>
  <c r="F73" i="5"/>
  <c r="F70" i="5"/>
  <c r="F62" i="5"/>
  <c r="F59" i="5"/>
  <c r="F57" i="5"/>
  <c r="F54" i="5"/>
  <c r="F19" i="5"/>
  <c r="F17" i="5"/>
  <c r="F12" i="5"/>
  <c r="F10" i="5"/>
  <c r="F8" i="5"/>
  <c r="F137" i="5"/>
  <c r="F133" i="5"/>
  <c r="F80" i="5"/>
  <c r="F72" i="5"/>
  <c r="F69" i="5"/>
  <c r="F47" i="5"/>
  <c r="F41" i="5"/>
  <c r="F36" i="5"/>
  <c r="F30" i="5"/>
  <c r="H16" i="5"/>
  <c r="F46" i="5"/>
  <c r="F55" i="5"/>
  <c r="F74" i="5"/>
  <c r="F79" i="5"/>
  <c r="F101" i="5"/>
  <c r="F127" i="5"/>
  <c r="F131" i="5"/>
  <c r="F139" i="5"/>
  <c r="F143" i="5"/>
  <c r="F6" i="9"/>
  <c r="F38" i="9"/>
  <c r="C99" i="9"/>
  <c r="C102" i="9" s="1"/>
  <c r="F96" i="9"/>
  <c r="F154" i="9"/>
  <c r="C13" i="11"/>
  <c r="C75" i="13"/>
  <c r="C86" i="13" s="1"/>
  <c r="C40" i="15"/>
  <c r="F37" i="15"/>
  <c r="F96" i="15"/>
  <c r="C146" i="15"/>
  <c r="C147" i="15" s="1"/>
  <c r="F143" i="15"/>
  <c r="C17" i="16"/>
  <c r="C18" i="16" s="1"/>
  <c r="D10" i="16"/>
  <c r="D4" i="16" s="1"/>
  <c r="C40" i="17"/>
  <c r="C146" i="17"/>
  <c r="C147" i="17" s="1"/>
  <c r="H8" i="18"/>
  <c r="L11" i="1" s="1"/>
  <c r="H16" i="18"/>
  <c r="L19" i="1" s="1"/>
  <c r="H5" i="18"/>
  <c r="H13" i="18"/>
  <c r="L16" i="1" s="1"/>
  <c r="G5" i="19"/>
  <c r="C13" i="19"/>
  <c r="F154" i="7"/>
  <c r="F57" i="9"/>
  <c r="F121" i="9"/>
  <c r="H5" i="15"/>
  <c r="C61" i="19"/>
  <c r="K9" i="1"/>
  <c r="W10" i="1"/>
  <c r="T8" i="1"/>
  <c r="D4" i="4"/>
  <c r="F6" i="5"/>
  <c r="F9" i="5"/>
  <c r="F31" i="5"/>
  <c r="F39" i="5"/>
  <c r="F67" i="5"/>
  <c r="F82" i="5"/>
  <c r="F91" i="5"/>
  <c r="F97" i="5"/>
  <c r="F109" i="5"/>
  <c r="F112" i="5"/>
  <c r="C147" i="5"/>
  <c r="F132" i="5"/>
  <c r="F140" i="5"/>
  <c r="F144" i="5"/>
  <c r="D4" i="6"/>
  <c r="G5" i="7"/>
  <c r="C13" i="7"/>
  <c r="F5" i="7"/>
  <c r="F19" i="7"/>
  <c r="F91" i="7"/>
  <c r="C20" i="9"/>
  <c r="C33" i="9"/>
  <c r="C61" i="9"/>
  <c r="C124" i="9"/>
  <c r="C147" i="9" s="1"/>
  <c r="F5" i="11"/>
  <c r="F8" i="11"/>
  <c r="F11" i="11"/>
  <c r="C20" i="11"/>
  <c r="F36" i="11"/>
  <c r="F39" i="11"/>
  <c r="F47" i="11"/>
  <c r="F62" i="11"/>
  <c r="F72" i="11"/>
  <c r="F77" i="11"/>
  <c r="F85" i="11"/>
  <c r="F121" i="11"/>
  <c r="F145" i="11"/>
  <c r="C17" i="12"/>
  <c r="C18" i="12" s="1"/>
  <c r="C50" i="13"/>
  <c r="C156" i="13"/>
  <c r="F12" i="15"/>
  <c r="F30" i="15"/>
  <c r="C50" i="15"/>
  <c r="F57" i="15"/>
  <c r="F70" i="15"/>
  <c r="F81" i="15"/>
  <c r="F91" i="15"/>
  <c r="F106" i="15"/>
  <c r="F126" i="15"/>
  <c r="F133" i="15"/>
  <c r="F151" i="15"/>
  <c r="C50" i="17"/>
  <c r="C99" i="19"/>
  <c r="C102" i="19" s="1"/>
  <c r="C99" i="7"/>
  <c r="C102" i="7" s="1"/>
  <c r="F96" i="7"/>
  <c r="C116" i="11"/>
  <c r="F106" i="11"/>
  <c r="G18" i="18"/>
  <c r="K8" i="1"/>
  <c r="K21" i="1" s="1"/>
  <c r="W14" i="1"/>
  <c r="Q9" i="1"/>
  <c r="F5" i="5"/>
  <c r="F7" i="5"/>
  <c r="C20" i="5"/>
  <c r="F32" i="5"/>
  <c r="F37" i="5"/>
  <c r="C40" i="5"/>
  <c r="F48" i="5"/>
  <c r="C61" i="5"/>
  <c r="F83" i="5"/>
  <c r="C99" i="5"/>
  <c r="C102" i="5" s="1"/>
  <c r="F98" i="5"/>
  <c r="F106" i="5"/>
  <c r="C110" i="5"/>
  <c r="C116" i="5" s="1"/>
  <c r="F113" i="5"/>
  <c r="F122" i="5"/>
  <c r="F151" i="5"/>
  <c r="F155" i="5"/>
  <c r="F17" i="7"/>
  <c r="C86" i="7"/>
  <c r="C114" i="7"/>
  <c r="C116" i="7" s="1"/>
  <c r="C159" i="7" s="1"/>
  <c r="F121" i="7"/>
  <c r="C156" i="7"/>
  <c r="G5" i="9"/>
  <c r="C13" i="9"/>
  <c r="F5" i="9"/>
  <c r="F59" i="9"/>
  <c r="F155" i="11"/>
  <c r="F152" i="11"/>
  <c r="F140" i="11"/>
  <c r="F132" i="11"/>
  <c r="F123" i="11"/>
  <c r="F101" i="11"/>
  <c r="F95" i="11"/>
  <c r="F83" i="11"/>
  <c r="F79" i="11"/>
  <c r="F71" i="11"/>
  <c r="F67" i="11"/>
  <c r="F60" i="11"/>
  <c r="F58" i="11"/>
  <c r="F49" i="11"/>
  <c r="F46" i="11"/>
  <c r="F24" i="11"/>
  <c r="F18" i="11"/>
  <c r="F16" i="11"/>
  <c r="F139" i="11"/>
  <c r="F131" i="11"/>
  <c r="F127" i="11"/>
  <c r="F122" i="11"/>
  <c r="F115" i="11"/>
  <c r="F100" i="11"/>
  <c r="F97" i="11"/>
  <c r="F82" i="11"/>
  <c r="F78" i="11"/>
  <c r="F74" i="11"/>
  <c r="F55" i="11"/>
  <c r="F34" i="11"/>
  <c r="F7" i="11"/>
  <c r="D18" i="10"/>
  <c r="F9" i="11"/>
  <c r="F19" i="11"/>
  <c r="F32" i="11"/>
  <c r="C40" i="11"/>
  <c r="F37" i="11"/>
  <c r="F41" i="11"/>
  <c r="F48" i="11"/>
  <c r="F59" i="11"/>
  <c r="F69" i="11"/>
  <c r="F73" i="11"/>
  <c r="F80" i="11"/>
  <c r="F96" i="11"/>
  <c r="F109" i="11"/>
  <c r="F113" i="11"/>
  <c r="C146" i="11"/>
  <c r="C147" i="11" s="1"/>
  <c r="C159" i="11" s="1"/>
  <c r="F143" i="11"/>
  <c r="C110" i="13"/>
  <c r="C116" i="13" s="1"/>
  <c r="C159" i="13" s="1"/>
  <c r="D4" i="14"/>
  <c r="F155" i="15"/>
  <c r="F152" i="15"/>
  <c r="F140" i="15"/>
  <c r="F132" i="15"/>
  <c r="F123" i="15"/>
  <c r="F101" i="15"/>
  <c r="F95" i="15"/>
  <c r="F83" i="15"/>
  <c r="F79" i="15"/>
  <c r="F71" i="15"/>
  <c r="F67" i="15"/>
  <c r="F60" i="15"/>
  <c r="F58" i="15"/>
  <c r="F49" i="15"/>
  <c r="F46" i="15"/>
  <c r="F24" i="15"/>
  <c r="F18" i="15"/>
  <c r="F16" i="15"/>
  <c r="F139" i="15"/>
  <c r="F131" i="15"/>
  <c r="F127" i="15"/>
  <c r="F122" i="15"/>
  <c r="F115" i="15"/>
  <c r="F100" i="15"/>
  <c r="F97" i="15"/>
  <c r="F82" i="15"/>
  <c r="F78" i="15"/>
  <c r="F74" i="15"/>
  <c r="F55" i="15"/>
  <c r="F34" i="15"/>
  <c r="F7" i="15"/>
  <c r="F159" i="15" s="1"/>
  <c r="F10" i="15"/>
  <c r="C13" i="15"/>
  <c r="F31" i="15"/>
  <c r="F38" i="15"/>
  <c r="F54" i="15"/>
  <c r="F92" i="15"/>
  <c r="F98" i="15"/>
  <c r="C110" i="15"/>
  <c r="C116" i="15" s="1"/>
  <c r="F112" i="15"/>
  <c r="F134" i="15"/>
  <c r="F138" i="15"/>
  <c r="F144" i="15"/>
  <c r="F157" i="15"/>
  <c r="C13" i="17"/>
  <c r="C110" i="17"/>
  <c r="C116" i="17" s="1"/>
  <c r="H9" i="18"/>
  <c r="L12" i="1" s="1"/>
  <c r="H14" i="18"/>
  <c r="L17" i="1" s="1"/>
  <c r="C20" i="19"/>
  <c r="C124" i="19"/>
  <c r="C147" i="19" s="1"/>
  <c r="D9" i="20"/>
  <c r="C18" i="18"/>
  <c r="C33" i="19"/>
  <c r="C114" i="19"/>
  <c r="C116" i="19" s="1"/>
  <c r="C116" i="25"/>
  <c r="C159" i="25" s="1"/>
  <c r="C19" i="26"/>
  <c r="C18" i="20"/>
  <c r="G5" i="21"/>
  <c r="C13" i="21"/>
  <c r="H16" i="22"/>
  <c r="R18" i="1" s="1"/>
  <c r="C15" i="22"/>
  <c r="H16" i="26"/>
  <c r="X18" i="1" s="1"/>
  <c r="C15" i="26"/>
  <c r="E11" i="20"/>
  <c r="F11" i="20" s="1"/>
  <c r="G11" i="20" s="1"/>
  <c r="E7" i="20"/>
  <c r="F7" i="20" s="1"/>
  <c r="G7" i="20" s="1"/>
  <c r="H15" i="24"/>
  <c r="U17" i="1" s="1"/>
  <c r="H17" i="26"/>
  <c r="X19" i="1" s="1"/>
  <c r="C61" i="21"/>
  <c r="C124" i="21"/>
  <c r="C147" i="21" s="1"/>
  <c r="C156" i="21"/>
  <c r="C40" i="23"/>
  <c r="C110" i="23"/>
  <c r="C116" i="23" s="1"/>
  <c r="C146" i="23"/>
  <c r="C19" i="24"/>
  <c r="C13" i="25"/>
  <c r="C33" i="25"/>
  <c r="C114" i="25"/>
  <c r="C40" i="27"/>
  <c r="C22" i="28"/>
  <c r="C23" i="28"/>
  <c r="D10" i="28"/>
  <c r="G10" i="28" s="1"/>
  <c r="Z12" i="1" s="1"/>
  <c r="G5" i="29"/>
  <c r="C13" i="29"/>
  <c r="D17" i="30"/>
  <c r="G17" i="30" s="1"/>
  <c r="AC19" i="1" s="1"/>
  <c r="H17" i="30"/>
  <c r="AD19" i="1" s="1"/>
  <c r="C33" i="21"/>
  <c r="C114" i="21"/>
  <c r="C116" i="21" s="1"/>
  <c r="H6" i="22"/>
  <c r="C61" i="23"/>
  <c r="C124" i="23"/>
  <c r="C147" i="23" s="1"/>
  <c r="C156" i="23"/>
  <c r="D4" i="24"/>
  <c r="E8" i="24"/>
  <c r="F8" i="24" s="1"/>
  <c r="G8" i="24" s="1"/>
  <c r="D10" i="24"/>
  <c r="G10" i="24" s="1"/>
  <c r="T12" i="1" s="1"/>
  <c r="C61" i="27"/>
  <c r="C99" i="27"/>
  <c r="C102" i="27" s="1"/>
  <c r="G6" i="28"/>
  <c r="D4" i="28"/>
  <c r="E12" i="28"/>
  <c r="F12" i="28" s="1"/>
  <c r="G12" i="28" s="1"/>
  <c r="E8" i="28"/>
  <c r="F8" i="28" s="1"/>
  <c r="G8" i="28" s="1"/>
  <c r="C19" i="30"/>
  <c r="D14" i="30"/>
  <c r="D4" i="30" s="1"/>
  <c r="E14" i="30"/>
  <c r="F14" i="30" s="1"/>
  <c r="G14" i="30" s="1"/>
  <c r="AC16" i="1" s="1"/>
  <c r="AC21" i="1" s="1"/>
  <c r="AC24" i="1" s="1"/>
  <c r="AC25" i="1" s="1"/>
  <c r="AC27" i="1" s="1"/>
  <c r="AC28" i="1" s="1"/>
  <c r="D18" i="34"/>
  <c r="G18" i="34" s="1"/>
  <c r="AI20" i="1" s="1"/>
  <c r="D14" i="24"/>
  <c r="D6" i="26"/>
  <c r="C20" i="29"/>
  <c r="H10" i="30"/>
  <c r="AD12" i="1" s="1"/>
  <c r="H6" i="28"/>
  <c r="H17" i="28"/>
  <c r="AA19" i="1" s="1"/>
  <c r="G19" i="30"/>
  <c r="C61" i="29"/>
  <c r="C124" i="29"/>
  <c r="C147" i="29" s="1"/>
  <c r="C156" i="29"/>
  <c r="C61" i="31"/>
  <c r="C19" i="32"/>
  <c r="C50" i="35"/>
  <c r="C124" i="27"/>
  <c r="C147" i="27" s="1"/>
  <c r="C159" i="27" s="1"/>
  <c r="C156" i="27"/>
  <c r="C33" i="29"/>
  <c r="C114" i="29"/>
  <c r="C116" i="29" s="1"/>
  <c r="H6" i="30"/>
  <c r="D15" i="30"/>
  <c r="G15" i="30" s="1"/>
  <c r="AC17" i="1" s="1"/>
  <c r="C13" i="31"/>
  <c r="C33" i="31"/>
  <c r="C99" i="31"/>
  <c r="C102" i="31" s="1"/>
  <c r="D11" i="32"/>
  <c r="H10" i="34"/>
  <c r="AJ12" i="1" s="1"/>
  <c r="C146" i="35"/>
  <c r="H10" i="36"/>
  <c r="AM12" i="1" s="1"/>
  <c r="D10" i="36"/>
  <c r="G10" i="36" s="1"/>
  <c r="AL12" i="1" s="1"/>
  <c r="D18" i="43"/>
  <c r="G18" i="43" s="1"/>
  <c r="BA20" i="1" s="1"/>
  <c r="H18" i="43"/>
  <c r="BB20" i="1" s="1"/>
  <c r="C124" i="31"/>
  <c r="C147" i="31" s="1"/>
  <c r="C10" i="32"/>
  <c r="D13" i="32"/>
  <c r="H15" i="32"/>
  <c r="AG17" i="1" s="1"/>
  <c r="C93" i="33"/>
  <c r="C19" i="34"/>
  <c r="H11" i="34"/>
  <c r="AJ13" i="1" s="1"/>
  <c r="D11" i="34"/>
  <c r="D4" i="34" s="1"/>
  <c r="H13" i="34"/>
  <c r="AJ15" i="1" s="1"/>
  <c r="D13" i="34"/>
  <c r="H17" i="34"/>
  <c r="AJ19" i="1" s="1"/>
  <c r="C40" i="35"/>
  <c r="C61" i="35"/>
  <c r="C147" i="35"/>
  <c r="G6" i="38"/>
  <c r="D18" i="38"/>
  <c r="G18" i="38" s="1"/>
  <c r="AO20" i="1" s="1"/>
  <c r="D10" i="41"/>
  <c r="G10" i="41" s="1"/>
  <c r="AU12" i="1" s="1"/>
  <c r="H10" i="41"/>
  <c r="AV12" i="1" s="1"/>
  <c r="C19" i="41"/>
  <c r="H9" i="32"/>
  <c r="AG11" i="1" s="1"/>
  <c r="G6" i="34"/>
  <c r="C20" i="35"/>
  <c r="C75" i="35"/>
  <c r="C86" i="35" s="1"/>
  <c r="H6" i="36"/>
  <c r="C13" i="37"/>
  <c r="E7" i="38"/>
  <c r="F7" i="38" s="1"/>
  <c r="G7" i="38" s="1"/>
  <c r="AO9" i="1" s="1"/>
  <c r="D7" i="38"/>
  <c r="H11" i="41"/>
  <c r="AV13" i="1" s="1"/>
  <c r="D11" i="41"/>
  <c r="D18" i="41"/>
  <c r="G18" i="41" s="1"/>
  <c r="AU20" i="1" s="1"/>
  <c r="I7" i="44"/>
  <c r="H7" i="44"/>
  <c r="D10" i="45"/>
  <c r="C118" i="39"/>
  <c r="E14" i="40"/>
  <c r="F14" i="40" s="1"/>
  <c r="G14" i="40" s="1"/>
  <c r="AR16" i="1" s="1"/>
  <c r="H14" i="40"/>
  <c r="AS16" i="1" s="1"/>
  <c r="D14" i="40"/>
  <c r="H18" i="40"/>
  <c r="AS20" i="1" s="1"/>
  <c r="C19" i="42"/>
  <c r="H12" i="42"/>
  <c r="AY14" i="1" s="1"/>
  <c r="E12" i="43"/>
  <c r="F12" i="43" s="1"/>
  <c r="G12" i="43" s="1"/>
  <c r="BA14" i="1" s="1"/>
  <c r="H12" i="43"/>
  <c r="BB14" i="1" s="1"/>
  <c r="D12" i="43"/>
  <c r="G6" i="44"/>
  <c r="I8" i="44"/>
  <c r="H8" i="44"/>
  <c r="E14" i="44"/>
  <c r="F14" i="44" s="1"/>
  <c r="G14" i="44" s="1"/>
  <c r="D14" i="44"/>
  <c r="H7" i="48"/>
  <c r="I7" i="48"/>
  <c r="J6" i="51"/>
  <c r="I7" i="51"/>
  <c r="H7" i="51"/>
  <c r="E8" i="51"/>
  <c r="F8" i="51" s="1"/>
  <c r="G8" i="51" s="1"/>
  <c r="E12" i="51"/>
  <c r="F12" i="51" s="1"/>
  <c r="G12" i="51" s="1"/>
  <c r="H11" i="51"/>
  <c r="D11" i="51"/>
  <c r="D4" i="51" s="1"/>
  <c r="C19" i="51"/>
  <c r="C19" i="36"/>
  <c r="H15" i="36"/>
  <c r="AM17" i="1" s="1"/>
  <c r="H6" i="38"/>
  <c r="D13" i="38"/>
  <c r="C54" i="38"/>
  <c r="G6" i="40"/>
  <c r="H11" i="40"/>
  <c r="AS13" i="1" s="1"/>
  <c r="D11" i="40"/>
  <c r="D18" i="40"/>
  <c r="G18" i="40" s="1"/>
  <c r="AR20" i="1" s="1"/>
  <c r="D12" i="41"/>
  <c r="D6" i="42"/>
  <c r="C19" i="43"/>
  <c r="D6" i="43"/>
  <c r="E14" i="43"/>
  <c r="F14" i="43" s="1"/>
  <c r="G14" i="43" s="1"/>
  <c r="BA16" i="1" s="1"/>
  <c r="D14" i="43"/>
  <c r="I6" i="45"/>
  <c r="I8" i="46"/>
  <c r="H8" i="46"/>
  <c r="I12" i="46"/>
  <c r="H12" i="46"/>
  <c r="H10" i="46"/>
  <c r="I6" i="47"/>
  <c r="I18" i="47"/>
  <c r="H18" i="47"/>
  <c r="C114" i="31"/>
  <c r="C116" i="31" s="1"/>
  <c r="H6" i="32"/>
  <c r="C61" i="33"/>
  <c r="C124" i="33"/>
  <c r="C147" i="33" s="1"/>
  <c r="C159" i="33" s="1"/>
  <c r="C156" i="33"/>
  <c r="C110" i="35"/>
  <c r="C116" i="35" s="1"/>
  <c r="D6" i="36"/>
  <c r="D15" i="36"/>
  <c r="G15" i="36" s="1"/>
  <c r="AL17" i="1" s="1"/>
  <c r="C95" i="37"/>
  <c r="E12" i="38"/>
  <c r="F12" i="38" s="1"/>
  <c r="G12" i="38" s="1"/>
  <c r="AO14" i="1" s="1"/>
  <c r="D12" i="38"/>
  <c r="C19" i="38"/>
  <c r="H10" i="42"/>
  <c r="AY12" i="1" s="1"/>
  <c r="H14" i="42"/>
  <c r="AY16" i="1" s="1"/>
  <c r="D14" i="42"/>
  <c r="I15" i="44"/>
  <c r="H15" i="44"/>
  <c r="H7" i="45"/>
  <c r="H18" i="45"/>
  <c r="D18" i="45"/>
  <c r="G18" i="45" s="1"/>
  <c r="C19" i="46"/>
  <c r="I21" i="46"/>
  <c r="H21" i="46"/>
  <c r="J21" i="46" s="1"/>
  <c r="E8" i="47"/>
  <c r="F8" i="47" s="1"/>
  <c r="G8" i="47" s="1"/>
  <c r="D8" i="47"/>
  <c r="D4" i="47" s="1"/>
  <c r="H10" i="47"/>
  <c r="C19" i="47"/>
  <c r="D11" i="36"/>
  <c r="C13" i="39"/>
  <c r="C42" i="39"/>
  <c r="C148" i="39"/>
  <c r="C149" i="39" s="1"/>
  <c r="C161" i="39" s="1"/>
  <c r="H7" i="40"/>
  <c r="AS9" i="1" s="1"/>
  <c r="C10" i="40"/>
  <c r="H17" i="40"/>
  <c r="AS19" i="1" s="1"/>
  <c r="G17" i="40"/>
  <c r="AR19" i="1" s="1"/>
  <c r="H12" i="41"/>
  <c r="AV14" i="1" s="1"/>
  <c r="H18" i="42"/>
  <c r="AY20" i="1" s="1"/>
  <c r="H11" i="43"/>
  <c r="BB13" i="1" s="1"/>
  <c r="C19" i="44"/>
  <c r="H6" i="44"/>
  <c r="I6" i="46"/>
  <c r="G19" i="46"/>
  <c r="H13" i="46"/>
  <c r="I13" i="46"/>
  <c r="H15" i="47"/>
  <c r="I15" i="47"/>
  <c r="I8" i="48"/>
  <c r="H8" i="48"/>
  <c r="D16" i="49"/>
  <c r="H16" i="49"/>
  <c r="H17" i="49"/>
  <c r="D17" i="49"/>
  <c r="I6" i="50"/>
  <c r="H6" i="50"/>
  <c r="I8" i="50"/>
  <c r="H8" i="50"/>
  <c r="C63" i="37"/>
  <c r="C126" i="37"/>
  <c r="C149" i="37" s="1"/>
  <c r="C161" i="37" s="1"/>
  <c r="C19" i="45"/>
  <c r="H6" i="47"/>
  <c r="I6" i="49"/>
  <c r="D7" i="40"/>
  <c r="D7" i="41"/>
  <c r="D12" i="42"/>
  <c r="H9" i="44"/>
  <c r="D12" i="44"/>
  <c r="D4" i="44" s="1"/>
  <c r="J13" i="44"/>
  <c r="H18" i="44"/>
  <c r="H15" i="45"/>
  <c r="H6" i="46"/>
  <c r="H7" i="46"/>
  <c r="J20" i="46"/>
  <c r="H18" i="46"/>
  <c r="E12" i="48"/>
  <c r="F12" i="48" s="1"/>
  <c r="G12" i="48" s="1"/>
  <c r="H12" i="48"/>
  <c r="D12" i="48"/>
  <c r="I21" i="48"/>
  <c r="H21" i="48"/>
  <c r="J21" i="48" s="1"/>
  <c r="D10" i="50"/>
  <c r="I21" i="51"/>
  <c r="H21" i="51"/>
  <c r="J21" i="51" s="1"/>
  <c r="H6" i="45"/>
  <c r="H9" i="47"/>
  <c r="J20" i="48"/>
  <c r="H9" i="48"/>
  <c r="D11" i="48"/>
  <c r="I14" i="48"/>
  <c r="C19" i="49"/>
  <c r="I8" i="49"/>
  <c r="H10" i="49"/>
  <c r="I15" i="49"/>
  <c r="C19" i="50"/>
  <c r="I6" i="51"/>
  <c r="I13" i="51"/>
  <c r="H13" i="51"/>
  <c r="I15" i="51"/>
  <c r="J20" i="51"/>
  <c r="D14" i="46"/>
  <c r="D4" i="46" s="1"/>
  <c r="E14" i="47"/>
  <c r="F14" i="47" s="1"/>
  <c r="G14" i="47" s="1"/>
  <c r="J20" i="47"/>
  <c r="J21" i="47"/>
  <c r="C19" i="48"/>
  <c r="D6" i="48"/>
  <c r="H18" i="48"/>
  <c r="I13" i="49"/>
  <c r="H13" i="49"/>
  <c r="D18" i="49"/>
  <c r="G18" i="49" s="1"/>
  <c r="I21" i="50"/>
  <c r="H21" i="50"/>
  <c r="J21" i="50" s="1"/>
  <c r="H6" i="49"/>
  <c r="H9" i="50"/>
  <c r="D14" i="49"/>
  <c r="C159" i="15" l="1"/>
  <c r="C159" i="17"/>
  <c r="I18" i="49"/>
  <c r="I23" i="49" s="1"/>
  <c r="BS20" i="1"/>
  <c r="BS21" i="1" s="1"/>
  <c r="BS24" i="1" s="1"/>
  <c r="BS25" i="1" s="1"/>
  <c r="J12" i="48"/>
  <c r="BQ14" i="1"/>
  <c r="J6" i="44"/>
  <c r="BE8" i="1"/>
  <c r="J7" i="51"/>
  <c r="BZ9" i="1"/>
  <c r="I14" i="44"/>
  <c r="BD16" i="1"/>
  <c r="G19" i="44"/>
  <c r="I6" i="44"/>
  <c r="BD8" i="1"/>
  <c r="J7" i="44"/>
  <c r="BE9" i="1"/>
  <c r="C23" i="41"/>
  <c r="C22" i="41"/>
  <c r="AD8" i="1"/>
  <c r="AD21" i="1" s="1"/>
  <c r="AD24" i="1" s="1"/>
  <c r="AD25" i="1" s="1"/>
  <c r="AD27" i="1" s="1"/>
  <c r="AD28" i="1" s="1"/>
  <c r="H11" i="20"/>
  <c r="O14" i="1" s="1"/>
  <c r="N14" i="1"/>
  <c r="D15" i="22"/>
  <c r="P17" i="1"/>
  <c r="P21" i="1" s="1"/>
  <c r="G9" i="20"/>
  <c r="D3" i="20"/>
  <c r="H5" i="9"/>
  <c r="K22" i="1"/>
  <c r="K24" i="1" s="1"/>
  <c r="K25" i="1" s="1"/>
  <c r="C159" i="5"/>
  <c r="C20" i="16"/>
  <c r="F2" i="17" s="1"/>
  <c r="D18" i="16"/>
  <c r="J18" i="48"/>
  <c r="BQ20" i="1"/>
  <c r="C22" i="50"/>
  <c r="C23" i="50"/>
  <c r="D4" i="41"/>
  <c r="J6" i="50"/>
  <c r="BW8" i="1"/>
  <c r="C22" i="44"/>
  <c r="C23" i="44"/>
  <c r="D10" i="40"/>
  <c r="AQ12" i="1"/>
  <c r="AQ21" i="1" s="1"/>
  <c r="AQ24" i="1" s="1"/>
  <c r="AQ25" i="1" s="1"/>
  <c r="C19" i="40"/>
  <c r="J11" i="51"/>
  <c r="BZ13" i="1"/>
  <c r="J8" i="44"/>
  <c r="BE10" i="1"/>
  <c r="D4" i="38"/>
  <c r="G6" i="26"/>
  <c r="D4" i="26"/>
  <c r="G19" i="28"/>
  <c r="Z8" i="1"/>
  <c r="F159" i="11"/>
  <c r="H5" i="11"/>
  <c r="H5" i="7"/>
  <c r="H18" i="18"/>
  <c r="L8" i="1"/>
  <c r="L21" i="1" s="1"/>
  <c r="J9" i="48"/>
  <c r="BQ11" i="1"/>
  <c r="J18" i="44"/>
  <c r="BE20" i="1"/>
  <c r="J8" i="48"/>
  <c r="BQ10" i="1"/>
  <c r="C23" i="47"/>
  <c r="C22" i="47"/>
  <c r="AG8" i="1"/>
  <c r="G22" i="30"/>
  <c r="G23" i="30"/>
  <c r="F24" i="31" s="1"/>
  <c r="H18" i="49"/>
  <c r="J13" i="51"/>
  <c r="BZ15" i="1"/>
  <c r="J7" i="46"/>
  <c r="BK9" i="1"/>
  <c r="J7" i="45"/>
  <c r="BH9" i="1"/>
  <c r="H14" i="44"/>
  <c r="C159" i="35"/>
  <c r="H19" i="28"/>
  <c r="AA8" i="1"/>
  <c r="R8" i="1"/>
  <c r="C20" i="26"/>
  <c r="J13" i="49"/>
  <c r="BT15" i="1"/>
  <c r="G6" i="48"/>
  <c r="D4" i="48"/>
  <c r="G22" i="46"/>
  <c r="G23" i="46"/>
  <c r="C22" i="46"/>
  <c r="C23" i="46"/>
  <c r="J18" i="47"/>
  <c r="BN20" i="1"/>
  <c r="C22" i="43"/>
  <c r="C23" i="43"/>
  <c r="C22" i="36"/>
  <c r="C23" i="36"/>
  <c r="C22" i="42"/>
  <c r="C23" i="42"/>
  <c r="G10" i="45"/>
  <c r="D4" i="45"/>
  <c r="AU21" i="1"/>
  <c r="AU24" i="1" s="1"/>
  <c r="AU25" i="1" s="1"/>
  <c r="AU27" i="1" s="1"/>
  <c r="AU28" i="1" s="1"/>
  <c r="C22" i="34"/>
  <c r="C23" i="34"/>
  <c r="C159" i="29"/>
  <c r="H18" i="34"/>
  <c r="AJ20" i="1" s="1"/>
  <c r="AJ21" i="1" s="1"/>
  <c r="AJ24" i="1" s="1"/>
  <c r="AJ25" i="1" s="1"/>
  <c r="AJ27" i="1" s="1"/>
  <c r="AJ28" i="1" s="1"/>
  <c r="H6" i="26"/>
  <c r="H10" i="24"/>
  <c r="U12" i="1" s="1"/>
  <c r="C19" i="18"/>
  <c r="J6" i="49"/>
  <c r="BT8" i="1"/>
  <c r="I14" i="47"/>
  <c r="BM16" i="1"/>
  <c r="J18" i="45"/>
  <c r="BH20" i="1"/>
  <c r="G19" i="47"/>
  <c r="H6" i="40"/>
  <c r="AR8" i="1"/>
  <c r="H19" i="36"/>
  <c r="AM8" i="1"/>
  <c r="AM21" i="1" s="1"/>
  <c r="AM24" i="1" s="1"/>
  <c r="AM25" i="1" s="1"/>
  <c r="AM27" i="1" s="1"/>
  <c r="AM28" i="1" s="1"/>
  <c r="C159" i="31"/>
  <c r="C19" i="20"/>
  <c r="D18" i="12"/>
  <c r="C20" i="12"/>
  <c r="F2" i="13" s="1"/>
  <c r="T21" i="1"/>
  <c r="BJ28" i="1"/>
  <c r="C22" i="49"/>
  <c r="C23" i="49"/>
  <c r="I12" i="48"/>
  <c r="BP14" i="1"/>
  <c r="G19" i="49"/>
  <c r="J17" i="49"/>
  <c r="BT19" i="1"/>
  <c r="J13" i="46"/>
  <c r="BK15" i="1"/>
  <c r="J10" i="47"/>
  <c r="BN12" i="1"/>
  <c r="C23" i="38"/>
  <c r="C22" i="38"/>
  <c r="J8" i="46"/>
  <c r="BK10" i="1"/>
  <c r="G6" i="43"/>
  <c r="D4" i="43"/>
  <c r="J7" i="48"/>
  <c r="BQ9" i="1"/>
  <c r="AV21" i="1"/>
  <c r="AV24" i="1" s="1"/>
  <c r="AV25" i="1" s="1"/>
  <c r="AV27" i="1" s="1"/>
  <c r="AV28" i="1" s="1"/>
  <c r="C22" i="32"/>
  <c r="C23" i="32"/>
  <c r="C19" i="22"/>
  <c r="H5" i="5"/>
  <c r="F159" i="5"/>
  <c r="D4" i="49"/>
  <c r="J9" i="47"/>
  <c r="BN11" i="1"/>
  <c r="J18" i="46"/>
  <c r="BK20" i="1"/>
  <c r="H19" i="46"/>
  <c r="H22" i="46" s="1"/>
  <c r="J6" i="46"/>
  <c r="BK8" i="1"/>
  <c r="J6" i="47"/>
  <c r="BN8" i="1"/>
  <c r="J16" i="49"/>
  <c r="BT18" i="1"/>
  <c r="G19" i="41"/>
  <c r="J15" i="44"/>
  <c r="BE17" i="1"/>
  <c r="J10" i="46"/>
  <c r="BK12" i="1"/>
  <c r="H12" i="51"/>
  <c r="I12" i="51"/>
  <c r="I23" i="51" s="1"/>
  <c r="BY14" i="1"/>
  <c r="G19" i="38"/>
  <c r="AO8" i="1"/>
  <c r="AO21" i="1" s="1"/>
  <c r="AO24" i="1" s="1"/>
  <c r="AO25" i="1" s="1"/>
  <c r="AO27" i="1" s="1"/>
  <c r="AO28" i="1" s="1"/>
  <c r="D10" i="32"/>
  <c r="AE12" i="1"/>
  <c r="AE21" i="1" s="1"/>
  <c r="AE24" i="1" s="1"/>
  <c r="AE25" i="1" s="1"/>
  <c r="H14" i="30"/>
  <c r="AD16" i="1" s="1"/>
  <c r="H8" i="28"/>
  <c r="AA10" i="1" s="1"/>
  <c r="Z10" i="1"/>
  <c r="C159" i="23"/>
  <c r="H10" i="28"/>
  <c r="AA12" i="1" s="1"/>
  <c r="C20" i="24"/>
  <c r="C22" i="24"/>
  <c r="C159" i="19"/>
  <c r="G19" i="18"/>
  <c r="G21" i="18" s="1"/>
  <c r="C159" i="9"/>
  <c r="F151" i="9"/>
  <c r="F145" i="9"/>
  <c r="F143" i="9"/>
  <c r="F139" i="9"/>
  <c r="F131" i="9"/>
  <c r="F127" i="9"/>
  <c r="F122" i="9"/>
  <c r="F115" i="9"/>
  <c r="F112" i="9"/>
  <c r="F109" i="9"/>
  <c r="F106" i="9"/>
  <c r="F100" i="9"/>
  <c r="F97" i="9"/>
  <c r="F82" i="9"/>
  <c r="F78" i="9"/>
  <c r="F74" i="9"/>
  <c r="F55" i="9"/>
  <c r="F48" i="9"/>
  <c r="F39" i="9"/>
  <c r="F37" i="9"/>
  <c r="F34" i="9"/>
  <c r="F31" i="9"/>
  <c r="F11" i="9"/>
  <c r="F9" i="9"/>
  <c r="F7" i="9"/>
  <c r="F159" i="9" s="1"/>
  <c r="F157" i="9"/>
  <c r="F138" i="9"/>
  <c r="F134" i="9"/>
  <c r="F126" i="9"/>
  <c r="F92" i="9"/>
  <c r="F85" i="9"/>
  <c r="F81" i="9"/>
  <c r="F77" i="9"/>
  <c r="F73" i="9"/>
  <c r="F70" i="9"/>
  <c r="F62" i="9"/>
  <c r="F54" i="9"/>
  <c r="F155" i="9"/>
  <c r="F144" i="9"/>
  <c r="F140" i="9"/>
  <c r="F133" i="9"/>
  <c r="F98" i="9"/>
  <c r="F91" i="9"/>
  <c r="F80" i="9"/>
  <c r="F72" i="9"/>
  <c r="F67" i="9"/>
  <c r="F47" i="9"/>
  <c r="F16" i="9"/>
  <c r="F8" i="9"/>
  <c r="F152" i="9"/>
  <c r="F95" i="9"/>
  <c r="F137" i="9"/>
  <c r="F132" i="9"/>
  <c r="F79" i="9"/>
  <c r="F71" i="9"/>
  <c r="F58" i="9"/>
  <c r="F46" i="9"/>
  <c r="F36" i="9"/>
  <c r="F18" i="9"/>
  <c r="F101" i="9"/>
  <c r="F83" i="9"/>
  <c r="F32" i="9"/>
  <c r="F123" i="9"/>
  <c r="F60" i="9"/>
  <c r="F49" i="9"/>
  <c r="F30" i="9"/>
  <c r="F108" i="9"/>
  <c r="F69" i="9"/>
  <c r="F41" i="9"/>
  <c r="F24" i="9"/>
  <c r="F24" i="1"/>
  <c r="F151" i="7"/>
  <c r="F145" i="7"/>
  <c r="F143" i="7"/>
  <c r="F139" i="7"/>
  <c r="F131" i="7"/>
  <c r="F127" i="7"/>
  <c r="F122" i="7"/>
  <c r="F115" i="7"/>
  <c r="F112" i="7"/>
  <c r="F109" i="7"/>
  <c r="F106" i="7"/>
  <c r="F100" i="7"/>
  <c r="F97" i="7"/>
  <c r="F82" i="7"/>
  <c r="F78" i="7"/>
  <c r="F74" i="7"/>
  <c r="F55" i="7"/>
  <c r="F48" i="7"/>
  <c r="F39" i="7"/>
  <c r="F37" i="7"/>
  <c r="F34" i="7"/>
  <c r="F31" i="7"/>
  <c r="F11" i="7"/>
  <c r="F9" i="7"/>
  <c r="F7" i="7"/>
  <c r="F159" i="7" s="1"/>
  <c r="F157" i="7"/>
  <c r="F138" i="7"/>
  <c r="F134" i="7"/>
  <c r="F126" i="7"/>
  <c r="F92" i="7"/>
  <c r="F85" i="7"/>
  <c r="F81" i="7"/>
  <c r="F77" i="7"/>
  <c r="F73" i="7"/>
  <c r="F70" i="7"/>
  <c r="F62" i="7"/>
  <c r="F54" i="7"/>
  <c r="F152" i="7"/>
  <c r="F108" i="7"/>
  <c r="F101" i="7"/>
  <c r="F95" i="7"/>
  <c r="F83" i="7"/>
  <c r="F69" i="7"/>
  <c r="F41" i="7"/>
  <c r="F32" i="7"/>
  <c r="F24" i="7"/>
  <c r="F49" i="7"/>
  <c r="F155" i="7"/>
  <c r="F140" i="7"/>
  <c r="F133" i="7"/>
  <c r="F80" i="7"/>
  <c r="F72" i="7"/>
  <c r="F67" i="7"/>
  <c r="F47" i="7"/>
  <c r="F16" i="7"/>
  <c r="F123" i="7"/>
  <c r="F60" i="7"/>
  <c r="F38" i="7"/>
  <c r="F12" i="7"/>
  <c r="F137" i="7"/>
  <c r="F132" i="7"/>
  <c r="F79" i="7"/>
  <c r="F71" i="7"/>
  <c r="F58" i="7"/>
  <c r="F46" i="7"/>
  <c r="F36" i="7"/>
  <c r="F18" i="7"/>
  <c r="F30" i="7"/>
  <c r="D24" i="1"/>
  <c r="J9" i="50"/>
  <c r="BW11" i="1"/>
  <c r="C22" i="48"/>
  <c r="C23" i="48"/>
  <c r="H14" i="47"/>
  <c r="G19" i="51"/>
  <c r="J10" i="49"/>
  <c r="BT12" i="1"/>
  <c r="J6" i="45"/>
  <c r="BH8" i="1"/>
  <c r="G10" i="50"/>
  <c r="D4" i="50"/>
  <c r="J15" i="45"/>
  <c r="BH17" i="1"/>
  <c r="J9" i="44"/>
  <c r="BE11" i="1"/>
  <c r="C22" i="45"/>
  <c r="C23" i="45"/>
  <c r="J8" i="50"/>
  <c r="BW10" i="1"/>
  <c r="J15" i="47"/>
  <c r="BN17" i="1"/>
  <c r="I23" i="46"/>
  <c r="I8" i="47"/>
  <c r="I23" i="47" s="1"/>
  <c r="H8" i="47"/>
  <c r="BM10" i="1"/>
  <c r="BM21" i="1" s="1"/>
  <c r="BM24" i="1" s="1"/>
  <c r="BM25" i="1" s="1"/>
  <c r="I18" i="45"/>
  <c r="BG20" i="1"/>
  <c r="H12" i="38"/>
  <c r="AP14" i="1" s="1"/>
  <c r="G6" i="36"/>
  <c r="D4" i="36"/>
  <c r="J12" i="46"/>
  <c r="BK14" i="1"/>
  <c r="H14" i="43"/>
  <c r="BB16" i="1" s="1"/>
  <c r="G6" i="42"/>
  <c r="D4" i="42"/>
  <c r="H19" i="38"/>
  <c r="AP8" i="1"/>
  <c r="C23" i="51"/>
  <c r="C22" i="51"/>
  <c r="H8" i="51"/>
  <c r="I8" i="51"/>
  <c r="BY10" i="1"/>
  <c r="H19" i="41"/>
  <c r="H18" i="41"/>
  <c r="AV20" i="1" s="1"/>
  <c r="H7" i="38"/>
  <c r="AP9" i="1" s="1"/>
  <c r="G19" i="34"/>
  <c r="AI8" i="1"/>
  <c r="AI21" i="1" s="1"/>
  <c r="AI24" i="1" s="1"/>
  <c r="AI25" i="1" s="1"/>
  <c r="AI27" i="1" s="1"/>
  <c r="AI28" i="1" s="1"/>
  <c r="H18" i="38"/>
  <c r="AP20" i="1" s="1"/>
  <c r="H15" i="30"/>
  <c r="AD17" i="1" s="1"/>
  <c r="C22" i="30"/>
  <c r="C23" i="30"/>
  <c r="H12" i="28"/>
  <c r="AA14" i="1" s="1"/>
  <c r="Z14" i="1"/>
  <c r="H8" i="24"/>
  <c r="T10" i="1"/>
  <c r="C159" i="21"/>
  <c r="H7" i="20"/>
  <c r="N10" i="1"/>
  <c r="D15" i="26"/>
  <c r="G15" i="26" s="1"/>
  <c r="W17" i="1" s="1"/>
  <c r="H15" i="26"/>
  <c r="X17" i="1" s="1"/>
  <c r="V17" i="1"/>
  <c r="V21" i="1" s="1"/>
  <c r="F19" i="9"/>
  <c r="F57" i="7"/>
  <c r="F59" i="7"/>
  <c r="G19" i="24"/>
  <c r="F17" i="9"/>
  <c r="F6" i="7"/>
  <c r="G24" i="1"/>
  <c r="F144" i="7"/>
  <c r="I24" i="1"/>
  <c r="E24" i="1"/>
  <c r="U10" i="1" l="1"/>
  <c r="U21" i="1" s="1"/>
  <c r="H19" i="24"/>
  <c r="H22" i="41"/>
  <c r="H23" i="41"/>
  <c r="J8" i="51"/>
  <c r="J23" i="51" s="1"/>
  <c r="BZ10" i="1"/>
  <c r="H22" i="38"/>
  <c r="H23" i="38"/>
  <c r="F2" i="39" s="1"/>
  <c r="G19" i="36"/>
  <c r="AL8" i="1"/>
  <c r="AL21" i="1" s="1"/>
  <c r="AL24" i="1" s="1"/>
  <c r="AL25" i="1" s="1"/>
  <c r="AL27" i="1" s="1"/>
  <c r="AL28" i="1" s="1"/>
  <c r="BM30" i="1"/>
  <c r="BM27" i="1"/>
  <c r="BM28" i="1" s="1"/>
  <c r="I10" i="50"/>
  <c r="I23" i="50" s="1"/>
  <c r="BV12" i="1"/>
  <c r="BV21" i="1" s="1"/>
  <c r="BV24" i="1" s="1"/>
  <c r="BV25" i="1" s="1"/>
  <c r="G19" i="50"/>
  <c r="H10" i="50"/>
  <c r="G22" i="38"/>
  <c r="G23" i="38"/>
  <c r="F26" i="39" s="1"/>
  <c r="G22" i="41"/>
  <c r="G23" i="41"/>
  <c r="J23" i="47"/>
  <c r="G19" i="43"/>
  <c r="BA8" i="1"/>
  <c r="BA21" i="1" s="1"/>
  <c r="BA24" i="1" s="1"/>
  <c r="BA25" i="1" s="1"/>
  <c r="BA27" i="1" s="1"/>
  <c r="BA28" i="1" s="1"/>
  <c r="H6" i="43"/>
  <c r="J23" i="49"/>
  <c r="H19" i="26"/>
  <c r="X8" i="1"/>
  <c r="X21" i="1" s="1"/>
  <c r="G19" i="48"/>
  <c r="I6" i="48"/>
  <c r="I23" i="48" s="1"/>
  <c r="H6" i="48"/>
  <c r="BP8" i="1"/>
  <c r="BP21" i="1" s="1"/>
  <c r="BP24" i="1" s="1"/>
  <c r="BP25" i="1" s="1"/>
  <c r="C23" i="26"/>
  <c r="D20" i="26"/>
  <c r="H22" i="28"/>
  <c r="H23" i="28"/>
  <c r="F2" i="29" s="1"/>
  <c r="L24" i="1"/>
  <c r="L25" i="1" s="1"/>
  <c r="L22" i="1"/>
  <c r="C23" i="40"/>
  <c r="C22" i="40"/>
  <c r="G23" i="44"/>
  <c r="G22" i="44"/>
  <c r="G20" i="24"/>
  <c r="H20" i="24" s="1"/>
  <c r="H23" i="24" s="1"/>
  <c r="F2" i="25" s="1"/>
  <c r="V22" i="1"/>
  <c r="V24" i="1" s="1"/>
  <c r="V25" i="1" s="1"/>
  <c r="O10" i="1"/>
  <c r="G23" i="34"/>
  <c r="F24" i="35" s="1"/>
  <c r="G22" i="34"/>
  <c r="J8" i="47"/>
  <c r="BN10" i="1"/>
  <c r="BN21" i="1" s="1"/>
  <c r="BN24" i="1" s="1"/>
  <c r="BN25" i="1" s="1"/>
  <c r="G10" i="32"/>
  <c r="D4" i="32"/>
  <c r="H19" i="47"/>
  <c r="C20" i="22"/>
  <c r="C22" i="20"/>
  <c r="H22" i="36"/>
  <c r="H23" i="36"/>
  <c r="F2" i="37" s="1"/>
  <c r="G23" i="47"/>
  <c r="G22" i="47"/>
  <c r="H19" i="18"/>
  <c r="H22" i="18" s="1"/>
  <c r="F2" i="19" s="1"/>
  <c r="C22" i="18"/>
  <c r="H21" i="18"/>
  <c r="G19" i="26"/>
  <c r="W8" i="1"/>
  <c r="W21" i="1" s="1"/>
  <c r="G15" i="22"/>
  <c r="D4" i="22"/>
  <c r="H19" i="30"/>
  <c r="BE21" i="1"/>
  <c r="BE24" i="1" s="1"/>
  <c r="BE25" i="1" s="1"/>
  <c r="BY21" i="1"/>
  <c r="BY24" i="1" s="1"/>
  <c r="BY25" i="1" s="1"/>
  <c r="G19" i="42"/>
  <c r="AX8" i="1"/>
  <c r="AX21" i="1" s="1"/>
  <c r="AX24" i="1" s="1"/>
  <c r="AX25" i="1" s="1"/>
  <c r="AX27" i="1" s="1"/>
  <c r="AX28" i="1" s="1"/>
  <c r="H6" i="42"/>
  <c r="H23" i="46"/>
  <c r="G22" i="51"/>
  <c r="G23" i="51"/>
  <c r="G22" i="18"/>
  <c r="F24" i="19" s="1"/>
  <c r="C23" i="24"/>
  <c r="D20" i="24"/>
  <c r="BK21" i="1"/>
  <c r="BK24" i="1" s="1"/>
  <c r="BK25" i="1" s="1"/>
  <c r="T22" i="1"/>
  <c r="T24" i="1" s="1"/>
  <c r="T25" i="1" s="1"/>
  <c r="T27" i="1" s="1"/>
  <c r="T28" i="1" s="1"/>
  <c r="C21" i="20"/>
  <c r="C21" i="18"/>
  <c r="H19" i="51"/>
  <c r="J14" i="44"/>
  <c r="J23" i="44" s="1"/>
  <c r="BE16" i="1"/>
  <c r="J18" i="49"/>
  <c r="BT20" i="1"/>
  <c r="BT21" i="1" s="1"/>
  <c r="BT24" i="1" s="1"/>
  <c r="BT25" i="1" s="1"/>
  <c r="Z21" i="1"/>
  <c r="Z24" i="1" s="1"/>
  <c r="Z25" i="1" s="1"/>
  <c r="Z27" i="1" s="1"/>
  <c r="Z28" i="1" s="1"/>
  <c r="H19" i="34"/>
  <c r="N12" i="1"/>
  <c r="N21" i="1" s="1"/>
  <c r="H9" i="20"/>
  <c r="O12" i="1" s="1"/>
  <c r="G18" i="20"/>
  <c r="BD21" i="1"/>
  <c r="BD24" i="1" s="1"/>
  <c r="BD25" i="1" s="1"/>
  <c r="AP21" i="1"/>
  <c r="AP24" i="1" s="1"/>
  <c r="AP25" i="1" s="1"/>
  <c r="AP27" i="1" s="1"/>
  <c r="AP28" i="1" s="1"/>
  <c r="J14" i="47"/>
  <c r="BN16" i="1"/>
  <c r="J12" i="51"/>
  <c r="BZ14" i="1"/>
  <c r="J23" i="46"/>
  <c r="G22" i="49"/>
  <c r="G23" i="49"/>
  <c r="F144" i="13"/>
  <c r="F137" i="13"/>
  <c r="F133" i="13"/>
  <c r="F113" i="13"/>
  <c r="F108" i="13"/>
  <c r="F98" i="13"/>
  <c r="F91" i="13"/>
  <c r="F80" i="13"/>
  <c r="F72" i="13"/>
  <c r="F69" i="13"/>
  <c r="F47" i="13"/>
  <c r="F41" i="13"/>
  <c r="F38" i="13"/>
  <c r="F36" i="13"/>
  <c r="F32" i="13"/>
  <c r="F30" i="13"/>
  <c r="F12" i="13"/>
  <c r="F10" i="13"/>
  <c r="F8" i="13"/>
  <c r="F152" i="13"/>
  <c r="F140" i="13"/>
  <c r="F132" i="13"/>
  <c r="F123" i="13"/>
  <c r="F101" i="13"/>
  <c r="F95" i="13"/>
  <c r="F83" i="13"/>
  <c r="F79" i="13"/>
  <c r="F67" i="13"/>
  <c r="F49" i="13"/>
  <c r="F24" i="13"/>
  <c r="F154" i="13"/>
  <c r="F145" i="13"/>
  <c r="F126" i="13"/>
  <c r="F115" i="13"/>
  <c r="F81" i="13"/>
  <c r="F74" i="13"/>
  <c r="F31" i="13"/>
  <c r="F143" i="13"/>
  <c r="F131" i="13"/>
  <c r="F59" i="13"/>
  <c r="F39" i="13"/>
  <c r="F19" i="13"/>
  <c r="F122" i="13"/>
  <c r="F85" i="13"/>
  <c r="F78" i="13"/>
  <c r="F73" i="13"/>
  <c r="F62" i="13"/>
  <c r="F55" i="13"/>
  <c r="F34" i="13"/>
  <c r="F7" i="13"/>
  <c r="F5" i="13"/>
  <c r="F127" i="13"/>
  <c r="F112" i="13"/>
  <c r="F96" i="13"/>
  <c r="F70" i="13"/>
  <c r="F48" i="13"/>
  <c r="F157" i="13"/>
  <c r="F139" i="13"/>
  <c r="F134" i="13"/>
  <c r="F121" i="13"/>
  <c r="F97" i="13"/>
  <c r="F92" i="13"/>
  <c r="F77" i="13"/>
  <c r="F57" i="13"/>
  <c r="F54" i="13"/>
  <c r="F17" i="13"/>
  <c r="F6" i="13"/>
  <c r="F138" i="13"/>
  <c r="F100" i="13"/>
  <c r="F82" i="13"/>
  <c r="F11" i="13"/>
  <c r="F9" i="13"/>
  <c r="F71" i="13"/>
  <c r="F18" i="13"/>
  <c r="F106" i="13"/>
  <c r="F109" i="13"/>
  <c r="F37" i="13"/>
  <c r="F16" i="13"/>
  <c r="F151" i="13"/>
  <c r="F155" i="13"/>
  <c r="F60" i="13"/>
  <c r="F46" i="13"/>
  <c r="F58" i="13"/>
  <c r="AS8" i="1"/>
  <c r="H19" i="49"/>
  <c r="I10" i="45"/>
  <c r="I23" i="45" s="1"/>
  <c r="BG12" i="1"/>
  <c r="BG21" i="1" s="1"/>
  <c r="BG24" i="1" s="1"/>
  <c r="BG25" i="1" s="1"/>
  <c r="H10" i="45"/>
  <c r="G19" i="45"/>
  <c r="C22" i="26"/>
  <c r="AA21" i="1"/>
  <c r="AA24" i="1" s="1"/>
  <c r="AA25" i="1" s="1"/>
  <c r="AA27" i="1" s="1"/>
  <c r="AA28" i="1" s="1"/>
  <c r="G22" i="28"/>
  <c r="G23" i="28"/>
  <c r="F24" i="29" s="1"/>
  <c r="G10" i="40"/>
  <c r="D4" i="40"/>
  <c r="F155" i="17"/>
  <c r="F152" i="17"/>
  <c r="F140" i="17"/>
  <c r="F132" i="17"/>
  <c r="F123" i="17"/>
  <c r="F101" i="17"/>
  <c r="F95" i="17"/>
  <c r="F83" i="17"/>
  <c r="F79" i="17"/>
  <c r="F71" i="17"/>
  <c r="F67" i="17"/>
  <c r="F60" i="17"/>
  <c r="F58" i="17"/>
  <c r="F49" i="17"/>
  <c r="F46" i="17"/>
  <c r="F24" i="17"/>
  <c r="F18" i="17"/>
  <c r="F16" i="17"/>
  <c r="F139" i="17"/>
  <c r="F131" i="17"/>
  <c r="F127" i="17"/>
  <c r="F122" i="17"/>
  <c r="F115" i="17"/>
  <c r="F100" i="17"/>
  <c r="F97" i="17"/>
  <c r="F82" i="17"/>
  <c r="F78" i="17"/>
  <c r="F74" i="17"/>
  <c r="F55" i="17"/>
  <c r="F34" i="17"/>
  <c r="F7" i="17"/>
  <c r="F157" i="17"/>
  <c r="F144" i="17"/>
  <c r="F138" i="17"/>
  <c r="F134" i="17"/>
  <c r="F98" i="17"/>
  <c r="F92" i="17"/>
  <c r="F54" i="17"/>
  <c r="F38" i="17"/>
  <c r="F10" i="17"/>
  <c r="F108" i="17"/>
  <c r="F77" i="17"/>
  <c r="F62" i="17"/>
  <c r="F47" i="17"/>
  <c r="F36" i="17"/>
  <c r="F8" i="17"/>
  <c r="F5" i="17"/>
  <c r="F137" i="17"/>
  <c r="F133" i="17"/>
  <c r="F126" i="17"/>
  <c r="F91" i="17"/>
  <c r="F81" i="17"/>
  <c r="F70" i="17"/>
  <c r="F30" i="17"/>
  <c r="F12" i="17"/>
  <c r="F154" i="17"/>
  <c r="F121" i="17"/>
  <c r="F72" i="17"/>
  <c r="F113" i="17"/>
  <c r="F80" i="17"/>
  <c r="F73" i="17"/>
  <c r="F69" i="17"/>
  <c r="F41" i="17"/>
  <c r="F32" i="17"/>
  <c r="F85" i="17"/>
  <c r="F96" i="17"/>
  <c r="F48" i="17"/>
  <c r="F145" i="17"/>
  <c r="F112" i="17"/>
  <c r="F17" i="17"/>
  <c r="F11" i="17"/>
  <c r="F9" i="17"/>
  <c r="F109" i="17"/>
  <c r="F106" i="17"/>
  <c r="F31" i="17"/>
  <c r="F37" i="17"/>
  <c r="F59" i="17"/>
  <c r="F6" i="17"/>
  <c r="F39" i="17"/>
  <c r="F151" i="17"/>
  <c r="F19" i="17"/>
  <c r="F143" i="17"/>
  <c r="F57" i="17"/>
  <c r="P22" i="1"/>
  <c r="P24" i="1" s="1"/>
  <c r="P25" i="1" s="1"/>
  <c r="I23" i="44"/>
  <c r="BZ21" i="1"/>
  <c r="BZ24" i="1" s="1"/>
  <c r="BZ25" i="1" s="1"/>
  <c r="H19" i="44"/>
  <c r="BS30" i="1"/>
  <c r="BS27" i="1"/>
  <c r="BS28" i="1" s="1"/>
  <c r="BN30" i="1" l="1"/>
  <c r="BN27" i="1"/>
  <c r="BN28" i="1" s="1"/>
  <c r="F144" i="25"/>
  <c r="F137" i="25"/>
  <c r="F133" i="25"/>
  <c r="F113" i="25"/>
  <c r="F108" i="25"/>
  <c r="F98" i="25"/>
  <c r="F91" i="25"/>
  <c r="F80" i="25"/>
  <c r="F72" i="25"/>
  <c r="F69" i="25"/>
  <c r="F47" i="25"/>
  <c r="F41" i="25"/>
  <c r="F38" i="25"/>
  <c r="F36" i="25"/>
  <c r="F32" i="25"/>
  <c r="F30" i="25"/>
  <c r="F12" i="25"/>
  <c r="F10" i="25"/>
  <c r="F8" i="25"/>
  <c r="F152" i="25"/>
  <c r="F140" i="25"/>
  <c r="F132" i="25"/>
  <c r="F123" i="25"/>
  <c r="F101" i="25"/>
  <c r="F95" i="25"/>
  <c r="F83" i="25"/>
  <c r="F79" i="25"/>
  <c r="F67" i="25"/>
  <c r="F49" i="25"/>
  <c r="F18" i="25"/>
  <c r="F16" i="25"/>
  <c r="F139" i="25"/>
  <c r="F131" i="25"/>
  <c r="F127" i="25"/>
  <c r="F122" i="25"/>
  <c r="F115" i="25"/>
  <c r="F100" i="25"/>
  <c r="F97" i="25"/>
  <c r="F82" i="25"/>
  <c r="F78" i="25"/>
  <c r="F74" i="25"/>
  <c r="F55" i="25"/>
  <c r="F34" i="25"/>
  <c r="F7" i="25"/>
  <c r="F157" i="25"/>
  <c r="F154" i="25"/>
  <c r="F138" i="25"/>
  <c r="F134" i="25"/>
  <c r="F126" i="25"/>
  <c r="F121" i="25"/>
  <c r="F96" i="25"/>
  <c r="F92" i="25"/>
  <c r="F85" i="25"/>
  <c r="F81" i="25"/>
  <c r="F77" i="25"/>
  <c r="F73" i="25"/>
  <c r="F70" i="25"/>
  <c r="F62" i="25"/>
  <c r="F59" i="25"/>
  <c r="F57" i="25"/>
  <c r="F54" i="25"/>
  <c r="F19" i="25"/>
  <c r="F17" i="25"/>
  <c r="F6" i="25"/>
  <c r="F5" i="25"/>
  <c r="F112" i="25"/>
  <c r="F106" i="25"/>
  <c r="F9" i="25"/>
  <c r="F39" i="25"/>
  <c r="F155" i="25"/>
  <c r="F143" i="25"/>
  <c r="F71" i="25"/>
  <c r="F109" i="25"/>
  <c r="F48" i="25"/>
  <c r="F151" i="25"/>
  <c r="F46" i="25"/>
  <c r="F11" i="25"/>
  <c r="F37" i="25"/>
  <c r="F31" i="25"/>
  <c r="F60" i="25"/>
  <c r="F58" i="25"/>
  <c r="F145" i="25"/>
  <c r="N22" i="1"/>
  <c r="N24" i="1" s="1"/>
  <c r="N25" i="1" s="1"/>
  <c r="BT30" i="1"/>
  <c r="BT27" i="1"/>
  <c r="BT28" i="1" s="1"/>
  <c r="BZ30" i="1"/>
  <c r="BZ27" i="1"/>
  <c r="BZ28" i="1" s="1"/>
  <c r="F159" i="17"/>
  <c r="H5" i="17"/>
  <c r="BG30" i="1"/>
  <c r="BG27" i="1"/>
  <c r="BK30" i="1"/>
  <c r="BK27" i="1"/>
  <c r="BK28" i="1" s="1"/>
  <c r="BY30" i="1"/>
  <c r="BY27" i="1"/>
  <c r="BY28" i="1" s="1"/>
  <c r="F159" i="13"/>
  <c r="H5" i="13"/>
  <c r="H22" i="51"/>
  <c r="H23" i="51"/>
  <c r="H19" i="42"/>
  <c r="AY8" i="1"/>
  <c r="AY21" i="1" s="1"/>
  <c r="AY24" i="1" s="1"/>
  <c r="AY25" i="1" s="1"/>
  <c r="AY27" i="1" s="1"/>
  <c r="AY28" i="1" s="1"/>
  <c r="W22" i="1"/>
  <c r="W24" i="1" s="1"/>
  <c r="W25" i="1" s="1"/>
  <c r="W27" i="1" s="1"/>
  <c r="W28" i="1" s="1"/>
  <c r="G23" i="24"/>
  <c r="F24" i="25" s="1"/>
  <c r="H19" i="43"/>
  <c r="BB8" i="1"/>
  <c r="BB21" i="1" s="1"/>
  <c r="BB24" i="1" s="1"/>
  <c r="BB25" i="1" s="1"/>
  <c r="BB27" i="1" s="1"/>
  <c r="BB28" i="1" s="1"/>
  <c r="J10" i="50"/>
  <c r="J23" i="50" s="1"/>
  <c r="BW12" i="1"/>
  <c r="BW21" i="1" s="1"/>
  <c r="BW24" i="1" s="1"/>
  <c r="BW25" i="1" s="1"/>
  <c r="H19" i="50"/>
  <c r="F154" i="39"/>
  <c r="F142" i="39"/>
  <c r="F134" i="39"/>
  <c r="F125" i="39"/>
  <c r="F103" i="39"/>
  <c r="F97" i="39"/>
  <c r="F85" i="39"/>
  <c r="F81" i="39"/>
  <c r="F73" i="39"/>
  <c r="F69" i="39"/>
  <c r="F62" i="39"/>
  <c r="F60" i="39"/>
  <c r="F51" i="39"/>
  <c r="F48" i="39"/>
  <c r="F20" i="39"/>
  <c r="F17" i="39"/>
  <c r="F141" i="39"/>
  <c r="F133" i="39"/>
  <c r="F129" i="39"/>
  <c r="F124" i="39"/>
  <c r="F117" i="39"/>
  <c r="F102" i="39"/>
  <c r="F99" i="39"/>
  <c r="F84" i="39"/>
  <c r="F80" i="39"/>
  <c r="F76" i="39"/>
  <c r="F57" i="39"/>
  <c r="F36" i="39"/>
  <c r="F19" i="39"/>
  <c r="F16" i="39"/>
  <c r="F7" i="39"/>
  <c r="F115" i="39"/>
  <c r="F98" i="39"/>
  <c r="F82" i="39"/>
  <c r="F75" i="39"/>
  <c r="F71" i="39"/>
  <c r="F61" i="39"/>
  <c r="F43" i="39"/>
  <c r="F34" i="39"/>
  <c r="F21" i="39"/>
  <c r="F10" i="39"/>
  <c r="F110" i="39"/>
  <c r="F87" i="39"/>
  <c r="F79" i="39"/>
  <c r="F74" i="39"/>
  <c r="F64" i="39"/>
  <c r="F49" i="39"/>
  <c r="F38" i="39"/>
  <c r="F12" i="39"/>
  <c r="F159" i="39"/>
  <c r="F146" i="39"/>
  <c r="F140" i="39"/>
  <c r="F136" i="39"/>
  <c r="F100" i="39"/>
  <c r="F94" i="39"/>
  <c r="F56" i="39"/>
  <c r="F40" i="39"/>
  <c r="F139" i="39"/>
  <c r="F135" i="39"/>
  <c r="F128" i="39"/>
  <c r="F93" i="39"/>
  <c r="F83" i="39"/>
  <c r="F72" i="39"/>
  <c r="F59" i="39"/>
  <c r="F32" i="39"/>
  <c r="F8" i="39"/>
  <c r="F5" i="39"/>
  <c r="F11" i="39"/>
  <c r="F18" i="39"/>
  <c r="F123" i="39"/>
  <c r="F50" i="39"/>
  <c r="F157" i="39"/>
  <c r="F147" i="39"/>
  <c r="F156" i="39"/>
  <c r="F108" i="39"/>
  <c r="F6" i="39"/>
  <c r="F41" i="39"/>
  <c r="F33" i="39"/>
  <c r="F111" i="39"/>
  <c r="F114" i="39"/>
  <c r="F153" i="39"/>
  <c r="F9" i="39"/>
  <c r="F39" i="39"/>
  <c r="F145" i="39"/>
  <c r="H22" i="49"/>
  <c r="H23" i="49"/>
  <c r="BD30" i="1"/>
  <c r="BD27" i="1"/>
  <c r="BD28" i="1" s="1"/>
  <c r="H22" i="30"/>
  <c r="H23" i="30"/>
  <c r="F2" i="31" s="1"/>
  <c r="G20" i="26"/>
  <c r="H20" i="26" s="1"/>
  <c r="H23" i="26" s="1"/>
  <c r="F2" i="27" s="1"/>
  <c r="G22" i="26"/>
  <c r="F159" i="37"/>
  <c r="F156" i="37"/>
  <c r="F140" i="37"/>
  <c r="F136" i="37"/>
  <c r="F128" i="37"/>
  <c r="F94" i="37"/>
  <c r="F87" i="37"/>
  <c r="F83" i="37"/>
  <c r="F79" i="37"/>
  <c r="F75" i="37"/>
  <c r="F72" i="37"/>
  <c r="F64" i="37"/>
  <c r="F56" i="37"/>
  <c r="F21" i="37"/>
  <c r="F18" i="37"/>
  <c r="F6" i="37"/>
  <c r="F5" i="37"/>
  <c r="F139" i="37"/>
  <c r="F135" i="37"/>
  <c r="F82" i="37"/>
  <c r="F74" i="37"/>
  <c r="F71" i="37"/>
  <c r="F49" i="37"/>
  <c r="F43" i="37"/>
  <c r="F38" i="37"/>
  <c r="F32" i="37"/>
  <c r="F154" i="37"/>
  <c r="F147" i="37"/>
  <c r="F125" i="37"/>
  <c r="F117" i="37"/>
  <c r="F102" i="37"/>
  <c r="F97" i="37"/>
  <c r="F80" i="37"/>
  <c r="F51" i="37"/>
  <c r="F36" i="37"/>
  <c r="F19" i="37"/>
  <c r="F9" i="37"/>
  <c r="F153" i="37"/>
  <c r="F124" i="37"/>
  <c r="F108" i="37"/>
  <c r="F85" i="37"/>
  <c r="F50" i="37"/>
  <c r="F39" i="37"/>
  <c r="F11" i="37"/>
  <c r="F142" i="37"/>
  <c r="F134" i="37"/>
  <c r="F114" i="37"/>
  <c r="F111" i="37"/>
  <c r="F99" i="37"/>
  <c r="F84" i="37"/>
  <c r="F69" i="37"/>
  <c r="F41" i="37"/>
  <c r="F33" i="37"/>
  <c r="F17" i="37"/>
  <c r="F133" i="37"/>
  <c r="F129" i="37"/>
  <c r="F81" i="37"/>
  <c r="F60" i="37"/>
  <c r="F57" i="37"/>
  <c r="F141" i="37"/>
  <c r="F20" i="37"/>
  <c r="F7" i="37"/>
  <c r="F145" i="37"/>
  <c r="F103" i="37"/>
  <c r="F48" i="37"/>
  <c r="F76" i="37"/>
  <c r="F16" i="37"/>
  <c r="F61" i="37"/>
  <c r="F110" i="37"/>
  <c r="F98" i="37"/>
  <c r="F10" i="37"/>
  <c r="F73" i="37"/>
  <c r="F93" i="37"/>
  <c r="F100" i="37"/>
  <c r="F146" i="37"/>
  <c r="F62" i="37"/>
  <c r="F157" i="37"/>
  <c r="F123" i="37"/>
  <c r="F34" i="37"/>
  <c r="F59" i="37"/>
  <c r="F115" i="37"/>
  <c r="F12" i="37"/>
  <c r="F8" i="37"/>
  <c r="F40" i="37"/>
  <c r="C23" i="22"/>
  <c r="D20" i="22"/>
  <c r="AF12" i="1"/>
  <c r="AF21" i="1" s="1"/>
  <c r="AF24" i="1" s="1"/>
  <c r="AF25" i="1" s="1"/>
  <c r="AF27" i="1" s="1"/>
  <c r="AF28" i="1" s="1"/>
  <c r="G19" i="32"/>
  <c r="H10" i="32"/>
  <c r="G22" i="24"/>
  <c r="BP30" i="1"/>
  <c r="BP27" i="1"/>
  <c r="BP28" i="1" s="1"/>
  <c r="X22" i="1"/>
  <c r="X24" i="1" s="1"/>
  <c r="X25" i="1" s="1"/>
  <c r="X27" i="1" s="1"/>
  <c r="X28" i="1" s="1"/>
  <c r="G22" i="50"/>
  <c r="G23" i="50"/>
  <c r="Q17" i="1"/>
  <c r="Q21" i="1" s="1"/>
  <c r="G19" i="22"/>
  <c r="H15" i="22"/>
  <c r="H22" i="47"/>
  <c r="H23" i="47"/>
  <c r="H18" i="20"/>
  <c r="G22" i="36"/>
  <c r="G23" i="36"/>
  <c r="F26" i="37" s="1"/>
  <c r="U22" i="1"/>
  <c r="U24" i="1" s="1"/>
  <c r="U25" i="1" s="1"/>
  <c r="U27" i="1" s="1"/>
  <c r="U28" i="1" s="1"/>
  <c r="AR12" i="1"/>
  <c r="AR21" i="1" s="1"/>
  <c r="AR24" i="1" s="1"/>
  <c r="AR25" i="1" s="1"/>
  <c r="AR27" i="1" s="1"/>
  <c r="AR28" i="1" s="1"/>
  <c r="H10" i="40"/>
  <c r="G19" i="40"/>
  <c r="BE30" i="1"/>
  <c r="BE27" i="1"/>
  <c r="BE28" i="1" s="1"/>
  <c r="O21" i="1"/>
  <c r="F155" i="29"/>
  <c r="F152" i="29"/>
  <c r="F140" i="29"/>
  <c r="F132" i="29"/>
  <c r="F123" i="29"/>
  <c r="F101" i="29"/>
  <c r="F95" i="29"/>
  <c r="F83" i="29"/>
  <c r="F79" i="29"/>
  <c r="F71" i="29"/>
  <c r="F67" i="29"/>
  <c r="F60" i="29"/>
  <c r="F58" i="29"/>
  <c r="F49" i="29"/>
  <c r="F46" i="29"/>
  <c r="F18" i="29"/>
  <c r="F16" i="29"/>
  <c r="F139" i="29"/>
  <c r="F131" i="29"/>
  <c r="F127" i="29"/>
  <c r="F122" i="29"/>
  <c r="F115" i="29"/>
  <c r="F100" i="29"/>
  <c r="F97" i="29"/>
  <c r="F82" i="29"/>
  <c r="F78" i="29"/>
  <c r="F74" i="29"/>
  <c r="F55" i="29"/>
  <c r="F34" i="29"/>
  <c r="F7" i="29"/>
  <c r="F157" i="29"/>
  <c r="F138" i="29"/>
  <c r="F134" i="29"/>
  <c r="F126" i="29"/>
  <c r="F92" i="29"/>
  <c r="F85" i="29"/>
  <c r="F81" i="29"/>
  <c r="F77" i="29"/>
  <c r="F73" i="29"/>
  <c r="F70" i="29"/>
  <c r="F62" i="29"/>
  <c r="F54" i="29"/>
  <c r="F144" i="29"/>
  <c r="F137" i="29"/>
  <c r="F133" i="29"/>
  <c r="F113" i="29"/>
  <c r="F108" i="29"/>
  <c r="F98" i="29"/>
  <c r="F91" i="29"/>
  <c r="F80" i="29"/>
  <c r="F72" i="29"/>
  <c r="F69" i="29"/>
  <c r="F47" i="29"/>
  <c r="F41" i="29"/>
  <c r="F38" i="29"/>
  <c r="F36" i="29"/>
  <c r="F8" i="29"/>
  <c r="F30" i="29"/>
  <c r="F10" i="29"/>
  <c r="F32" i="29"/>
  <c r="F12" i="29"/>
  <c r="F145" i="29"/>
  <c r="F39" i="29"/>
  <c r="F57" i="29"/>
  <c r="F48" i="29"/>
  <c r="F143" i="29"/>
  <c r="F154" i="29"/>
  <c r="F109" i="29"/>
  <c r="F112" i="29"/>
  <c r="F17" i="29"/>
  <c r="F37" i="29"/>
  <c r="F59" i="29"/>
  <c r="F5" i="29"/>
  <c r="F11" i="29"/>
  <c r="F96" i="29"/>
  <c r="F9" i="29"/>
  <c r="F6" i="29"/>
  <c r="F31" i="29"/>
  <c r="F106" i="29"/>
  <c r="F121" i="29"/>
  <c r="F19" i="29"/>
  <c r="F151" i="29"/>
  <c r="G22" i="48"/>
  <c r="G23" i="48"/>
  <c r="G22" i="45"/>
  <c r="G23" i="45"/>
  <c r="H22" i="44"/>
  <c r="H23" i="44"/>
  <c r="J10" i="45"/>
  <c r="J23" i="45" s="1"/>
  <c r="BH12" i="1"/>
  <c r="BH21" i="1" s="1"/>
  <c r="BH24" i="1" s="1"/>
  <c r="BH25" i="1" s="1"/>
  <c r="H19" i="45"/>
  <c r="G19" i="20"/>
  <c r="H19" i="20" s="1"/>
  <c r="H22" i="20" s="1"/>
  <c r="F2" i="21" s="1"/>
  <c r="H22" i="34"/>
  <c r="H23" i="34"/>
  <c r="F2" i="35" s="1"/>
  <c r="G23" i="42"/>
  <c r="G22" i="42"/>
  <c r="F155" i="19"/>
  <c r="F152" i="19"/>
  <c r="F140" i="19"/>
  <c r="F132" i="19"/>
  <c r="F123" i="19"/>
  <c r="F101" i="19"/>
  <c r="F95" i="19"/>
  <c r="F83" i="19"/>
  <c r="F79" i="19"/>
  <c r="F71" i="19"/>
  <c r="F67" i="19"/>
  <c r="F60" i="19"/>
  <c r="F58" i="19"/>
  <c r="F49" i="19"/>
  <c r="F46" i="19"/>
  <c r="F18" i="19"/>
  <c r="F16" i="19"/>
  <c r="F139" i="19"/>
  <c r="F131" i="19"/>
  <c r="F127" i="19"/>
  <c r="F122" i="19"/>
  <c r="F115" i="19"/>
  <c r="F100" i="19"/>
  <c r="F97" i="19"/>
  <c r="F82" i="19"/>
  <c r="F78" i="19"/>
  <c r="F74" i="19"/>
  <c r="F55" i="19"/>
  <c r="F34" i="19"/>
  <c r="F7" i="19"/>
  <c r="F157" i="19"/>
  <c r="F138" i="19"/>
  <c r="F134" i="19"/>
  <c r="F126" i="19"/>
  <c r="F92" i="19"/>
  <c r="F85" i="19"/>
  <c r="F81" i="19"/>
  <c r="F77" i="19"/>
  <c r="F73" i="19"/>
  <c r="F70" i="19"/>
  <c r="F62" i="19"/>
  <c r="F54" i="19"/>
  <c r="F133" i="19"/>
  <c r="F72" i="19"/>
  <c r="F38" i="19"/>
  <c r="F30" i="19"/>
  <c r="F10" i="19"/>
  <c r="F108" i="19"/>
  <c r="F144" i="19"/>
  <c r="F137" i="19"/>
  <c r="F80" i="19"/>
  <c r="F32" i="19"/>
  <c r="F12" i="19"/>
  <c r="F47" i="19"/>
  <c r="F8" i="19"/>
  <c r="F113" i="19"/>
  <c r="F91" i="19"/>
  <c r="F69" i="19"/>
  <c r="F41" i="19"/>
  <c r="F98" i="19"/>
  <c r="F36" i="19"/>
  <c r="F48" i="19"/>
  <c r="F31" i="19"/>
  <c r="F19" i="19"/>
  <c r="F112" i="19"/>
  <c r="F37" i="19"/>
  <c r="F109" i="19"/>
  <c r="F59" i="19"/>
  <c r="F121" i="19"/>
  <c r="F9" i="19"/>
  <c r="F106" i="19"/>
  <c r="F17" i="19"/>
  <c r="F145" i="19"/>
  <c r="F6" i="19"/>
  <c r="F57" i="19"/>
  <c r="F5" i="19"/>
  <c r="F151" i="19"/>
  <c r="F154" i="19"/>
  <c r="F143" i="19"/>
  <c r="F11" i="19"/>
  <c r="F96" i="19"/>
  <c r="F39" i="19"/>
  <c r="C22" i="22"/>
  <c r="H19" i="48"/>
  <c r="J6" i="48"/>
  <c r="J23" i="48" s="1"/>
  <c r="BQ8" i="1"/>
  <c r="BQ21" i="1" s="1"/>
  <c r="BQ24" i="1" s="1"/>
  <c r="BQ25" i="1" s="1"/>
  <c r="H22" i="26"/>
  <c r="G22" i="43"/>
  <c r="G23" i="43"/>
  <c r="BV30" i="1"/>
  <c r="BV27" i="1"/>
  <c r="BV28" i="1" s="1"/>
  <c r="H22" i="24"/>
  <c r="F155" i="21" l="1"/>
  <c r="F152" i="21"/>
  <c r="F140" i="21"/>
  <c r="F132" i="21"/>
  <c r="F123" i="21"/>
  <c r="F101" i="21"/>
  <c r="F95" i="21"/>
  <c r="F83" i="21"/>
  <c r="F79" i="21"/>
  <c r="F71" i="21"/>
  <c r="F67" i="21"/>
  <c r="F60" i="21"/>
  <c r="F58" i="21"/>
  <c r="F49" i="21"/>
  <c r="F46" i="21"/>
  <c r="F18" i="21"/>
  <c r="F16" i="21"/>
  <c r="F145" i="21"/>
  <c r="F143" i="21"/>
  <c r="F139" i="21"/>
  <c r="F131" i="21"/>
  <c r="F127" i="21"/>
  <c r="F122" i="21"/>
  <c r="F115" i="21"/>
  <c r="F100" i="21"/>
  <c r="F97" i="21"/>
  <c r="F82" i="21"/>
  <c r="F78" i="21"/>
  <c r="F74" i="21"/>
  <c r="F55" i="21"/>
  <c r="F48" i="21"/>
  <c r="F34" i="21"/>
  <c r="F7" i="21"/>
  <c r="F157" i="21"/>
  <c r="F138" i="21"/>
  <c r="F134" i="21"/>
  <c r="F126" i="21"/>
  <c r="F92" i="21"/>
  <c r="F85" i="21"/>
  <c r="F81" i="21"/>
  <c r="F77" i="21"/>
  <c r="F73" i="21"/>
  <c r="F70" i="21"/>
  <c r="F62" i="21"/>
  <c r="F54" i="21"/>
  <c r="F144" i="21"/>
  <c r="F137" i="21"/>
  <c r="F133" i="21"/>
  <c r="F113" i="21"/>
  <c r="F108" i="21"/>
  <c r="F98" i="21"/>
  <c r="F91" i="21"/>
  <c r="F80" i="21"/>
  <c r="F72" i="21"/>
  <c r="F69" i="21"/>
  <c r="F32" i="21"/>
  <c r="F12" i="21"/>
  <c r="F41" i="21"/>
  <c r="F36" i="21"/>
  <c r="F8" i="21"/>
  <c r="F30" i="21"/>
  <c r="F10" i="21"/>
  <c r="F38" i="21"/>
  <c r="F47" i="21"/>
  <c r="F154" i="21"/>
  <c r="F11" i="21"/>
  <c r="F109" i="21"/>
  <c r="F37" i="21"/>
  <c r="F112" i="21"/>
  <c r="F96" i="21"/>
  <c r="F121" i="21"/>
  <c r="F151" i="21"/>
  <c r="F57" i="21"/>
  <c r="F17" i="21"/>
  <c r="F59" i="21"/>
  <c r="F6" i="21"/>
  <c r="F31" i="21"/>
  <c r="F5" i="21"/>
  <c r="F106" i="21"/>
  <c r="F19" i="21"/>
  <c r="F39" i="21"/>
  <c r="F9" i="21"/>
  <c r="H21" i="20"/>
  <c r="G22" i="20"/>
  <c r="F24" i="21" s="1"/>
  <c r="AG12" i="1"/>
  <c r="AG21" i="1" s="1"/>
  <c r="AG24" i="1" s="1"/>
  <c r="AG25" i="1" s="1"/>
  <c r="AG27" i="1" s="1"/>
  <c r="AG28" i="1" s="1"/>
  <c r="H19" i="32"/>
  <c r="F159" i="25"/>
  <c r="H5" i="25"/>
  <c r="G22" i="32"/>
  <c r="G23" i="32"/>
  <c r="F24" i="33" s="1"/>
  <c r="H5" i="37"/>
  <c r="F161" i="37"/>
  <c r="BG28" i="1"/>
  <c r="BL27" i="1"/>
  <c r="BH27" i="1"/>
  <c r="BH28" i="1" s="1"/>
  <c r="BH30" i="1"/>
  <c r="G20" i="22"/>
  <c r="H20" i="22" s="1"/>
  <c r="G22" i="22"/>
  <c r="H22" i="50"/>
  <c r="H23" i="50"/>
  <c r="H22" i="43"/>
  <c r="H23" i="43"/>
  <c r="BQ30" i="1"/>
  <c r="BQ27" i="1"/>
  <c r="BQ28" i="1" s="1"/>
  <c r="F137" i="35"/>
  <c r="F133" i="35"/>
  <c r="F80" i="35"/>
  <c r="F72" i="35"/>
  <c r="F69" i="35"/>
  <c r="F47" i="35"/>
  <c r="F41" i="35"/>
  <c r="F38" i="35"/>
  <c r="F36" i="35"/>
  <c r="F32" i="35"/>
  <c r="F30" i="35"/>
  <c r="F152" i="35"/>
  <c r="F140" i="35"/>
  <c r="F132" i="35"/>
  <c r="F123" i="35"/>
  <c r="F101" i="35"/>
  <c r="F95" i="35"/>
  <c r="F83" i="35"/>
  <c r="F79" i="35"/>
  <c r="F67" i="35"/>
  <c r="F49" i="35"/>
  <c r="F139" i="35"/>
  <c r="F134" i="35"/>
  <c r="F121" i="35"/>
  <c r="F109" i="35"/>
  <c r="F97" i="35"/>
  <c r="F92" i="35"/>
  <c r="F77" i="35"/>
  <c r="F57" i="35"/>
  <c r="F54" i="35"/>
  <c r="F37" i="35"/>
  <c r="F17" i="35"/>
  <c r="F9" i="35"/>
  <c r="F6" i="35"/>
  <c r="F154" i="35"/>
  <c r="F138" i="35"/>
  <c r="F131" i="35"/>
  <c r="F127" i="35"/>
  <c r="F100" i="35"/>
  <c r="F96" i="35"/>
  <c r="F82" i="35"/>
  <c r="F70" i="35"/>
  <c r="F59" i="35"/>
  <c r="F19" i="35"/>
  <c r="F126" i="35"/>
  <c r="F115" i="35"/>
  <c r="F81" i="35"/>
  <c r="F74" i="35"/>
  <c r="F157" i="35"/>
  <c r="F122" i="35"/>
  <c r="F106" i="35"/>
  <c r="F85" i="35"/>
  <c r="F78" i="35"/>
  <c r="F73" i="35"/>
  <c r="F62" i="35"/>
  <c r="F55" i="35"/>
  <c r="F34" i="35"/>
  <c r="F7" i="35"/>
  <c r="F5" i="35"/>
  <c r="F151" i="35"/>
  <c r="F108" i="35"/>
  <c r="F60" i="35"/>
  <c r="F113" i="35"/>
  <c r="F46" i="35"/>
  <c r="F8" i="35"/>
  <c r="F91" i="35"/>
  <c r="F39" i="35"/>
  <c r="F71" i="35"/>
  <c r="F112" i="35"/>
  <c r="F18" i="35"/>
  <c r="F31" i="35"/>
  <c r="F11" i="35"/>
  <c r="F145" i="35"/>
  <c r="F10" i="35"/>
  <c r="F12" i="35"/>
  <c r="F144" i="35"/>
  <c r="F58" i="35"/>
  <c r="F16" i="35"/>
  <c r="F143" i="35"/>
  <c r="F155" i="35"/>
  <c r="F48" i="35"/>
  <c r="F98" i="35"/>
  <c r="F159" i="29"/>
  <c r="H5" i="29"/>
  <c r="G23" i="40"/>
  <c r="G22" i="40"/>
  <c r="Q24" i="1"/>
  <c r="Q25" i="1" s="1"/>
  <c r="K31" i="1" s="1"/>
  <c r="K32" i="1" s="1"/>
  <c r="Q22" i="1"/>
  <c r="F151" i="27"/>
  <c r="F145" i="27"/>
  <c r="F143" i="27"/>
  <c r="F139" i="27"/>
  <c r="F131" i="27"/>
  <c r="F157" i="27"/>
  <c r="F138" i="27"/>
  <c r="F134" i="27"/>
  <c r="F126" i="27"/>
  <c r="F137" i="27"/>
  <c r="F133" i="27"/>
  <c r="F140" i="27"/>
  <c r="F123" i="27"/>
  <c r="F115" i="27"/>
  <c r="F101" i="27"/>
  <c r="F97" i="27"/>
  <c r="F82" i="27"/>
  <c r="F78" i="27"/>
  <c r="F74" i="27"/>
  <c r="F55" i="27"/>
  <c r="F48" i="27"/>
  <c r="F39" i="27"/>
  <c r="F37" i="27"/>
  <c r="F34" i="27"/>
  <c r="F31" i="27"/>
  <c r="F11" i="27"/>
  <c r="F9" i="27"/>
  <c r="F7" i="27"/>
  <c r="F152" i="27"/>
  <c r="F122" i="27"/>
  <c r="F106" i="27"/>
  <c r="F100" i="27"/>
  <c r="F92" i="27"/>
  <c r="F85" i="27"/>
  <c r="F81" i="27"/>
  <c r="F77" i="27"/>
  <c r="F73" i="27"/>
  <c r="F70" i="27"/>
  <c r="F62" i="27"/>
  <c r="F54" i="27"/>
  <c r="F155" i="27"/>
  <c r="F112" i="27"/>
  <c r="F109" i="27"/>
  <c r="F80" i="27"/>
  <c r="F72" i="27"/>
  <c r="F69" i="27"/>
  <c r="F47" i="27"/>
  <c r="F41" i="27"/>
  <c r="F36" i="27"/>
  <c r="F30" i="27"/>
  <c r="F132" i="27"/>
  <c r="F127" i="27"/>
  <c r="F95" i="27"/>
  <c r="F83" i="27"/>
  <c r="F79" i="27"/>
  <c r="F71" i="27"/>
  <c r="F67" i="27"/>
  <c r="F60" i="27"/>
  <c r="F58" i="27"/>
  <c r="F49" i="27"/>
  <c r="F46" i="27"/>
  <c r="F18" i="27"/>
  <c r="F16" i="27"/>
  <c r="F6" i="27"/>
  <c r="F12" i="27"/>
  <c r="F17" i="27"/>
  <c r="F96" i="27"/>
  <c r="F108" i="27"/>
  <c r="F19" i="27"/>
  <c r="F38" i="27"/>
  <c r="F154" i="27"/>
  <c r="F32" i="27"/>
  <c r="F121" i="27"/>
  <c r="F113" i="27"/>
  <c r="F144" i="27"/>
  <c r="F10" i="27"/>
  <c r="F59" i="27"/>
  <c r="F57" i="27"/>
  <c r="F8" i="27"/>
  <c r="F98" i="27"/>
  <c r="F91" i="27"/>
  <c r="F5" i="27"/>
  <c r="F161" i="39"/>
  <c r="H5" i="39"/>
  <c r="BW30" i="1"/>
  <c r="BW27" i="1"/>
  <c r="BW28" i="1" s="1"/>
  <c r="H22" i="42"/>
  <c r="H23" i="42"/>
  <c r="O22" i="1"/>
  <c r="O24" i="1"/>
  <c r="O25" i="1" s="1"/>
  <c r="AS12" i="1"/>
  <c r="AS21" i="1" s="1"/>
  <c r="AS24" i="1" s="1"/>
  <c r="AS25" i="1" s="1"/>
  <c r="AS27" i="1" s="1"/>
  <c r="AS28" i="1" s="1"/>
  <c r="H19" i="40"/>
  <c r="F151" i="31"/>
  <c r="F145" i="31"/>
  <c r="F143" i="31"/>
  <c r="F139" i="31"/>
  <c r="F131" i="31"/>
  <c r="F127" i="31"/>
  <c r="F122" i="31"/>
  <c r="F115" i="31"/>
  <c r="F100" i="31"/>
  <c r="F97" i="31"/>
  <c r="F157" i="31"/>
  <c r="F138" i="31"/>
  <c r="F134" i="31"/>
  <c r="F126" i="31"/>
  <c r="F92" i="31"/>
  <c r="F85" i="31"/>
  <c r="F155" i="31"/>
  <c r="F144" i="31"/>
  <c r="F140" i="31"/>
  <c r="F133" i="31"/>
  <c r="F98" i="31"/>
  <c r="F91" i="31"/>
  <c r="F83" i="31"/>
  <c r="F79" i="31"/>
  <c r="F71" i="31"/>
  <c r="F67" i="31"/>
  <c r="F60" i="31"/>
  <c r="F58" i="31"/>
  <c r="F49" i="31"/>
  <c r="F46" i="31"/>
  <c r="F18" i="31"/>
  <c r="F16" i="31"/>
  <c r="F137" i="31"/>
  <c r="F132" i="31"/>
  <c r="F82" i="31"/>
  <c r="F78" i="31"/>
  <c r="F74" i="31"/>
  <c r="F55" i="31"/>
  <c r="F34" i="31"/>
  <c r="F7" i="31"/>
  <c r="F123" i="31"/>
  <c r="F81" i="31"/>
  <c r="F77" i="31"/>
  <c r="F73" i="31"/>
  <c r="F70" i="31"/>
  <c r="F62" i="31"/>
  <c r="F54" i="31"/>
  <c r="F152" i="31"/>
  <c r="F108" i="31"/>
  <c r="F101" i="31"/>
  <c r="F95" i="31"/>
  <c r="F80" i="31"/>
  <c r="F72" i="31"/>
  <c r="F69" i="31"/>
  <c r="F47" i="31"/>
  <c r="F41" i="31"/>
  <c r="F38" i="31"/>
  <c r="F36" i="31"/>
  <c r="F32" i="31"/>
  <c r="F30" i="31"/>
  <c r="F12" i="31"/>
  <c r="F10" i="31"/>
  <c r="F8" i="31"/>
  <c r="F11" i="31"/>
  <c r="F19" i="31"/>
  <c r="F31" i="31"/>
  <c r="F59" i="31"/>
  <c r="F112" i="31"/>
  <c r="F57" i="31"/>
  <c r="F121" i="31"/>
  <c r="F96" i="31"/>
  <c r="F37" i="31"/>
  <c r="F39" i="31"/>
  <c r="F154" i="31"/>
  <c r="F48" i="31"/>
  <c r="F5" i="31"/>
  <c r="F17" i="31"/>
  <c r="F109" i="31"/>
  <c r="F113" i="31"/>
  <c r="F106" i="31"/>
  <c r="F6" i="31"/>
  <c r="F9" i="31"/>
  <c r="H22" i="48"/>
  <c r="H23" i="48"/>
  <c r="F159" i="19"/>
  <c r="H5" i="19"/>
  <c r="G21" i="20"/>
  <c r="H22" i="45"/>
  <c r="H23" i="45"/>
  <c r="R17" i="1"/>
  <c r="R21" i="1" s="1"/>
  <c r="H19" i="22"/>
  <c r="H22" i="22" s="1"/>
  <c r="G23" i="26"/>
  <c r="F24" i="27" s="1"/>
  <c r="R22" i="1" l="1"/>
  <c r="R24" i="1" s="1"/>
  <c r="R25" i="1" s="1"/>
  <c r="F159" i="27"/>
  <c r="H5" i="27"/>
  <c r="H23" i="22"/>
  <c r="F2" i="23" s="1"/>
  <c r="H22" i="32"/>
  <c r="H23" i="32"/>
  <c r="F2" i="33" s="1"/>
  <c r="F159" i="21"/>
  <c r="H5" i="21"/>
  <c r="H5" i="31"/>
  <c r="F159" i="31"/>
  <c r="H22" i="40"/>
  <c r="H23" i="40"/>
  <c r="G23" i="22"/>
  <c r="F24" i="23" s="1"/>
  <c r="F159" i="35"/>
  <c r="H5" i="35"/>
  <c r="F157" i="33" l="1"/>
  <c r="F138" i="33"/>
  <c r="F134" i="33"/>
  <c r="F126" i="33"/>
  <c r="F92" i="33"/>
  <c r="F85" i="33"/>
  <c r="F81" i="33"/>
  <c r="F77" i="33"/>
  <c r="F73" i="33"/>
  <c r="F70" i="33"/>
  <c r="F62" i="33"/>
  <c r="F54" i="33"/>
  <c r="F17" i="33"/>
  <c r="F6" i="33"/>
  <c r="F5" i="33"/>
  <c r="F137" i="33"/>
  <c r="F133" i="33"/>
  <c r="F80" i="33"/>
  <c r="F72" i="33"/>
  <c r="F69" i="33"/>
  <c r="F47" i="33"/>
  <c r="F41" i="33"/>
  <c r="F36" i="33"/>
  <c r="F30" i="33"/>
  <c r="F152" i="33"/>
  <c r="F145" i="33"/>
  <c r="F123" i="33"/>
  <c r="F115" i="33"/>
  <c r="F100" i="33"/>
  <c r="F95" i="33"/>
  <c r="F78" i="33"/>
  <c r="F71" i="33"/>
  <c r="F60" i="33"/>
  <c r="F49" i="33"/>
  <c r="F34" i="33"/>
  <c r="F9" i="33"/>
  <c r="F151" i="33"/>
  <c r="F122" i="33"/>
  <c r="F106" i="33"/>
  <c r="F83" i="33"/>
  <c r="F48" i="33"/>
  <c r="F37" i="33"/>
  <c r="F11" i="33"/>
  <c r="F140" i="33"/>
  <c r="F132" i="33"/>
  <c r="F112" i="33"/>
  <c r="F109" i="33"/>
  <c r="F97" i="33"/>
  <c r="F82" i="33"/>
  <c r="F67" i="33"/>
  <c r="F39" i="33"/>
  <c r="F31" i="33"/>
  <c r="F143" i="33"/>
  <c r="F139" i="33"/>
  <c r="F131" i="33"/>
  <c r="F127" i="33"/>
  <c r="F101" i="33"/>
  <c r="F79" i="33"/>
  <c r="F74" i="33"/>
  <c r="F58" i="33"/>
  <c r="F55" i="33"/>
  <c r="F46" i="33"/>
  <c r="F18" i="33"/>
  <c r="F7" i="33"/>
  <c r="F10" i="33"/>
  <c r="F59" i="33"/>
  <c r="F32" i="33"/>
  <c r="F113" i="33"/>
  <c r="F96" i="33"/>
  <c r="F154" i="33"/>
  <c r="F91" i="33"/>
  <c r="F57" i="33"/>
  <c r="F12" i="33"/>
  <c r="F155" i="33"/>
  <c r="F8" i="33"/>
  <c r="F121" i="33"/>
  <c r="F19" i="33"/>
  <c r="F108" i="33"/>
  <c r="F16" i="33"/>
  <c r="F38" i="33"/>
  <c r="F144" i="33"/>
  <c r="F98" i="33"/>
  <c r="F151" i="23"/>
  <c r="F145" i="23"/>
  <c r="F143" i="23"/>
  <c r="F139" i="23"/>
  <c r="F131" i="23"/>
  <c r="F127" i="23"/>
  <c r="F122" i="23"/>
  <c r="F115" i="23"/>
  <c r="F112" i="23"/>
  <c r="F109" i="23"/>
  <c r="F106" i="23"/>
  <c r="F100" i="23"/>
  <c r="F97" i="23"/>
  <c r="F82" i="23"/>
  <c r="F78" i="23"/>
  <c r="F74" i="23"/>
  <c r="F55" i="23"/>
  <c r="F48" i="23"/>
  <c r="F39" i="23"/>
  <c r="F37" i="23"/>
  <c r="F34" i="23"/>
  <c r="F31" i="23"/>
  <c r="F11" i="23"/>
  <c r="F9" i="23"/>
  <c r="F7" i="23"/>
  <c r="F157" i="23"/>
  <c r="F138" i="23"/>
  <c r="F134" i="23"/>
  <c r="F126" i="23"/>
  <c r="F92" i="23"/>
  <c r="F85" i="23"/>
  <c r="F81" i="23"/>
  <c r="F77" i="23"/>
  <c r="F73" i="23"/>
  <c r="F70" i="23"/>
  <c r="F62" i="23"/>
  <c r="F54" i="23"/>
  <c r="F19" i="23"/>
  <c r="F17" i="23"/>
  <c r="F6" i="23"/>
  <c r="F5" i="23"/>
  <c r="F137" i="23"/>
  <c r="F133" i="23"/>
  <c r="F80" i="23"/>
  <c r="F72" i="23"/>
  <c r="F69" i="23"/>
  <c r="F47" i="23"/>
  <c r="F41" i="23"/>
  <c r="F36" i="23"/>
  <c r="F30" i="23"/>
  <c r="F155" i="23"/>
  <c r="F152" i="23"/>
  <c r="F140" i="23"/>
  <c r="F132" i="23"/>
  <c r="F123" i="23"/>
  <c r="F101" i="23"/>
  <c r="F95" i="23"/>
  <c r="F83" i="23"/>
  <c r="F79" i="23"/>
  <c r="F71" i="23"/>
  <c r="F67" i="23"/>
  <c r="F60" i="23"/>
  <c r="F58" i="23"/>
  <c r="F49" i="23"/>
  <c r="F46" i="23"/>
  <c r="F18" i="23"/>
  <c r="F16" i="23"/>
  <c r="F144" i="23"/>
  <c r="F8" i="23"/>
  <c r="F91" i="23"/>
  <c r="F10" i="23"/>
  <c r="F57" i="23"/>
  <c r="F12" i="23"/>
  <c r="F59" i="23"/>
  <c r="F108" i="23"/>
  <c r="F121" i="23"/>
  <c r="F98" i="23"/>
  <c r="F38" i="23"/>
  <c r="F154" i="23"/>
  <c r="F32" i="23"/>
  <c r="F113" i="23"/>
  <c r="F96" i="23"/>
  <c r="F159" i="23" l="1"/>
  <c r="H5" i="23"/>
  <c r="H5" i="33"/>
  <c r="F159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0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ID#AAABuxv4F1A
pm.ogm@emerzhent.com    (2024-02-21 11:41:23)
Property Tax Liasoning + Accounting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VS1IctNaXmJyLoGk0Ju+3zayal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5" authorId="0" shapeId="0" xr:uid="{00000000-0006-0000-0F00-000001000000}">
      <text>
        <r>
          <rPr>
            <sz val="11"/>
            <color theme="1"/>
            <rFont val="Calibri"/>
            <scheme val="minor"/>
          </rPr>
          <t>======
ID#AAABuxv4F08
ogm emerzhent    (2024-02-21 11:21:55)
Speed breaker supply: Rs- 24780 supply-OGM, Rs-782 transportation-OGM
Speed breaker Installation:
Rs-8845.-EPMS
Visitor/Vendor ID card: Rs-37600-EPMS
Slotted angle rack 1no: Rs-7596-OGM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Rac7+BmzCyBkCAEKFBmu539sw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4" authorId="0" shapeId="0" xr:uid="{00000000-0006-0000-1700-000002000000}">
      <text>
        <r>
          <rPr>
            <sz val="11"/>
            <color theme="1"/>
            <rFont val="Calibri"/>
            <scheme val="minor"/>
          </rPr>
          <t>======
ID#AAABuxv4F00
ogm emerzhent    (2024-12-18 07:38:10)
1. CAM EB&amp;DG: Rs:459489/-
2. CAM ACD Share Apr`24: Rs:392207/-</t>
        </r>
      </text>
    </comment>
    <comment ref="C17" authorId="0" shapeId="0" xr:uid="{00000000-0006-0000-1700-000001000000}">
      <text>
        <r>
          <rPr>
            <sz val="11"/>
            <color theme="1"/>
            <rFont val="Calibri"/>
            <scheme val="minor"/>
          </rPr>
          <t>======
ID#AAABuxv4F0w
ogm emerzhent    (2024-12-18 07:38:10)
1. Aqua-Temporary tank cleaning-Rs:8000/-
2. BMS AC repair-Rs:3500/-
3. Printer cartridge and plumbing material-Rs: 1045/-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qoQ/9+jzfDUP40GZI3rTZs73C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4" authorId="0" shapeId="0" xr:uid="{00000000-0006-0000-1900-000001000000}">
      <text>
        <r>
          <rPr>
            <sz val="11"/>
            <color theme="1"/>
            <rFont val="Calibri"/>
            <scheme val="minor"/>
          </rPr>
          <t>======
ID#AAABuxv4F04
ogm emerzhent    (2024-12-18 07:38:10)
1. CAM EB&amp;DG: Rs:611600/-
2. CAM ACD Share May`24: Rs:392207/-</t>
        </r>
      </text>
    </comment>
    <comment ref="C17" authorId="0" shapeId="0" xr:uid="{00000000-0006-0000-1900-000002000000}">
      <text>
        <r>
          <rPr>
            <sz val="11"/>
            <color theme="1"/>
            <rFont val="Calibri"/>
            <scheme val="minor"/>
          </rPr>
          <t>======
ID#AAABuxv4F0s
ogm emerzhent    (2024-12-18 07:38:10)
1. Computer service and Autocad installation: Rs:1325/-.
2. Button cells for TDS and PH meter. Rs:320/-.
3. A) CEIG drawing printout. Rs: 260/-.
4. Water bottles. Rs: 140/-.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0D8lrLTKDEWC1Z4nbQEzhUA6yg=="/>
    </ext>
  </extLst>
</comments>
</file>

<file path=xl/sharedStrings.xml><?xml version="1.0" encoding="utf-8"?>
<sst xmlns="http://schemas.openxmlformats.org/spreadsheetml/2006/main" count="7106" uniqueCount="768">
  <si>
    <t>MONTHLY CAM CHARGES CALCULATION SUMMARY  - OGM</t>
  </si>
  <si>
    <t>Total Building Saleable area-SFT</t>
  </si>
  <si>
    <t>Month</t>
  </si>
  <si>
    <t>Jun`23</t>
  </si>
  <si>
    <t>Jul`23</t>
  </si>
  <si>
    <t>Aug`23</t>
  </si>
  <si>
    <t>Sep`23</t>
  </si>
  <si>
    <t>Oct`23</t>
  </si>
  <si>
    <t>Nov`23</t>
  </si>
  <si>
    <t>Dec`23</t>
  </si>
  <si>
    <t>Jan`24</t>
  </si>
  <si>
    <t>Feb`24</t>
  </si>
  <si>
    <t>Mar`24</t>
  </si>
  <si>
    <t>Apr`24</t>
  </si>
  <si>
    <t>May`24</t>
  </si>
  <si>
    <t>Jun`24</t>
  </si>
  <si>
    <t>Jul`24</t>
  </si>
  <si>
    <t>Aug`24</t>
  </si>
  <si>
    <t>Sep`24</t>
  </si>
  <si>
    <t>Oct`24</t>
  </si>
  <si>
    <t>Nov`24</t>
  </si>
  <si>
    <t>Dec`24</t>
  </si>
  <si>
    <t>Jan`25</t>
  </si>
  <si>
    <t>Feb`25</t>
  </si>
  <si>
    <t>Mar`25</t>
  </si>
  <si>
    <t>Apr`25</t>
  </si>
  <si>
    <t>May`25</t>
  </si>
  <si>
    <t>Jun`25</t>
  </si>
  <si>
    <t>Jul`25</t>
  </si>
  <si>
    <t>Aug`25</t>
  </si>
  <si>
    <t>Sep`25</t>
  </si>
  <si>
    <t>Oct`25</t>
  </si>
  <si>
    <t>Nov`25</t>
  </si>
  <si>
    <t>Sl no</t>
  </si>
  <si>
    <t>Description</t>
  </si>
  <si>
    <t>Total</t>
  </si>
  <si>
    <t>MCP</t>
  </si>
  <si>
    <t>OGM</t>
  </si>
  <si>
    <r>
      <rPr>
        <sz val="10"/>
        <color theme="1"/>
        <rFont val="Bookman Old Style"/>
      </rPr>
      <t xml:space="preserve">Management staff </t>
    </r>
    <r>
      <rPr>
        <b/>
        <sz val="10"/>
        <color theme="1"/>
        <rFont val="Bookman Old Style"/>
      </rPr>
      <t>(By Area)</t>
    </r>
  </si>
  <si>
    <r>
      <rPr>
        <sz val="10"/>
        <color theme="1"/>
        <rFont val="Bookman Old Style"/>
      </rPr>
      <t xml:space="preserve">Technical manpower </t>
    </r>
    <r>
      <rPr>
        <b/>
        <sz val="10"/>
        <color theme="1"/>
        <rFont val="Bookman Old Style"/>
      </rPr>
      <t>(% Share)</t>
    </r>
  </si>
  <si>
    <r>
      <rPr>
        <sz val="10"/>
        <color theme="1"/>
        <rFont val="Bookman Old Style"/>
      </rPr>
      <t xml:space="preserve">HK Manpower </t>
    </r>
    <r>
      <rPr>
        <b/>
        <sz val="10"/>
        <color theme="1"/>
        <rFont val="Bookman Old Style"/>
      </rPr>
      <t>(% Share)</t>
    </r>
  </si>
  <si>
    <r>
      <rPr>
        <sz val="10"/>
        <color theme="1"/>
        <rFont val="Bookman Old Style"/>
      </rPr>
      <t xml:space="preserve">LP Manpower -Security Services </t>
    </r>
    <r>
      <rPr>
        <b/>
        <sz val="10"/>
        <color theme="1"/>
        <rFont val="Bookman Old Style"/>
      </rPr>
      <t>(By Area)</t>
    </r>
  </si>
  <si>
    <r>
      <rPr>
        <sz val="10"/>
        <color theme="1"/>
        <rFont val="Bookman Old Style"/>
      </rPr>
      <t xml:space="preserve">AMC </t>
    </r>
    <r>
      <rPr>
        <b/>
        <sz val="10"/>
        <color theme="1"/>
        <rFont val="Bookman Old Style"/>
      </rPr>
      <t>(By Area)</t>
    </r>
  </si>
  <si>
    <t>AMC Excl. MCP</t>
  </si>
  <si>
    <r>
      <rPr>
        <sz val="10"/>
        <color theme="1"/>
        <rFont val="Bookman Old Style"/>
      </rPr>
      <t xml:space="preserve">Consumables </t>
    </r>
    <r>
      <rPr>
        <b/>
        <sz val="10"/>
        <color theme="1"/>
        <rFont val="Bookman Old Style"/>
      </rPr>
      <t>(HK %Share)</t>
    </r>
  </si>
  <si>
    <t>Cousumables Excl MCP</t>
  </si>
  <si>
    <r>
      <rPr>
        <sz val="10"/>
        <color theme="1"/>
        <rFont val="Bookman Old Style"/>
      </rPr>
      <t xml:space="preserve">Common area Electrical &amp; DG Charges </t>
    </r>
    <r>
      <rPr>
        <b/>
        <sz val="10"/>
        <color theme="1"/>
        <rFont val="Bookman Old Style"/>
      </rPr>
      <t>(Tech %Share)</t>
    </r>
  </si>
  <si>
    <r>
      <rPr>
        <sz val="10"/>
        <color theme="1"/>
        <rFont val="Bookman Old Style"/>
      </rPr>
      <t xml:space="preserve">Common area Water charges </t>
    </r>
    <r>
      <rPr>
        <b/>
        <sz val="10"/>
        <color theme="1"/>
        <rFont val="Bookman Old Style"/>
      </rPr>
      <t>(By Area)</t>
    </r>
  </si>
  <si>
    <t>Cooling Tower water charges</t>
  </si>
  <si>
    <r>
      <rPr>
        <sz val="10"/>
        <color theme="1"/>
        <rFont val="Bookman Old Style"/>
      </rPr>
      <t xml:space="preserve">FMS Cost </t>
    </r>
    <r>
      <rPr>
        <b/>
        <sz val="10"/>
        <color theme="1"/>
        <rFont val="Bookman Old Style"/>
      </rPr>
      <t>(By Area)</t>
    </r>
  </si>
  <si>
    <r>
      <rPr>
        <sz val="10"/>
        <color theme="1"/>
        <rFont val="Bookman Old Style"/>
      </rPr>
      <t xml:space="preserve">Liosaning &amp; Licenses </t>
    </r>
    <r>
      <rPr>
        <b/>
        <sz val="10"/>
        <color theme="1"/>
        <rFont val="Bookman Old Style"/>
      </rPr>
      <t>(By Area) (Building Insurance, Fire audit, Electrical Inspections, PCB, etc).</t>
    </r>
  </si>
  <si>
    <t>Total CAM Charges</t>
  </si>
  <si>
    <t xml:space="preserve">Contingency, Sinking Fund @2% (Applicable till formation of Association) </t>
  </si>
  <si>
    <t>Fixed Management Fees</t>
  </si>
  <si>
    <t>Grand Total</t>
  </si>
  <si>
    <t>Including Contingency &amp; Sinking fund Per Sft CAM Charges</t>
  </si>
  <si>
    <t>Collected per SFT</t>
  </si>
  <si>
    <t>Variance Per SFT</t>
  </si>
  <si>
    <t>Variance Amount on total SFT</t>
  </si>
  <si>
    <t>Jun-23 to Dec-23</t>
  </si>
  <si>
    <t xml:space="preserve">average </t>
  </si>
  <si>
    <t>Jan-24 to May-24</t>
  </si>
  <si>
    <t>jan to Mar average</t>
  </si>
  <si>
    <t>Facility Management Expenses as on 31st Oct 2023</t>
  </si>
  <si>
    <t>S.No</t>
  </si>
  <si>
    <t>Name of the Contractor/Vendor</t>
  </si>
  <si>
    <t>Fee</t>
  </si>
  <si>
    <t>GST</t>
  </si>
  <si>
    <t>Amount Spent</t>
  </si>
  <si>
    <t>Remarks</t>
  </si>
  <si>
    <t>Wakeon Innovative - Computers Purchase</t>
  </si>
  <si>
    <t>RKS Technologies - Walkie Talkies Purchase</t>
  </si>
  <si>
    <t>Purchase 15No's WALKIE TALKIE - MOTOROLA XIR P3688 MOTOROLA</t>
  </si>
  <si>
    <t>Emerzhent - FM Services</t>
  </si>
  <si>
    <t>Lord Ganapathi Pooja Expenses. Diwali Sweets</t>
  </si>
  <si>
    <t>TSSPDCL - FMS Cost - MCP - From July 23 onwards</t>
  </si>
  <si>
    <t>Jubilee Hills Filling Station - Diesel Cost</t>
  </si>
  <si>
    <t>OM SRI SAI WATER METERS</t>
  </si>
  <si>
    <t>purchase Water Meters and Accessasries</t>
  </si>
  <si>
    <t>DELIGHT ENTERPRISES</t>
  </si>
  <si>
    <t>Emerald Tools Corporation</t>
  </si>
  <si>
    <t>Hardware Items purchase</t>
  </si>
  <si>
    <t>Shaikh Taher</t>
  </si>
  <si>
    <t>Metal Lockers Purchase</t>
  </si>
  <si>
    <t>Sharpedge - Signage Materials</t>
  </si>
  <si>
    <t>Signage Material</t>
  </si>
  <si>
    <t>SRI VENKATESWARA HOSPITALITY SERVICES</t>
  </si>
  <si>
    <t>Lunch Expenses for Lord Ganesh Festival and Projects Opening Day and Dussera Festival Expenses</t>
  </si>
  <si>
    <t>SVR ENTERPRISES</t>
  </si>
  <si>
    <t>Kent RO Water Plant</t>
  </si>
  <si>
    <t>Ashok Agencies</t>
  </si>
  <si>
    <t>Tea &amp; Coffee Mix Packs</t>
  </si>
  <si>
    <t>Independence Day Celebrations Bill</t>
  </si>
  <si>
    <t>Lifeline Enterprises - Eye Bolts Purchase</t>
  </si>
  <si>
    <t>Purchase Eye Bolts Purchase for Facade cleaning</t>
  </si>
  <si>
    <t>HMWS Water Bills</t>
  </si>
  <si>
    <t>Water Tanker Expenses - R Balraj</t>
  </si>
  <si>
    <t>Septic Tank Cleaning Expenses - Laxman</t>
  </si>
  <si>
    <t>Project Expenses</t>
  </si>
  <si>
    <t>Operation Expenses</t>
  </si>
  <si>
    <t>Lord Ganapathi Pooja Expenses</t>
  </si>
  <si>
    <t>Purchase Water Meters and Accessories</t>
  </si>
  <si>
    <t>Sheikh Taher</t>
  </si>
  <si>
    <t>Sharp edge - Signage Materials</t>
  </si>
  <si>
    <t>No of months(Jun`23 to Oct`23)</t>
  </si>
  <si>
    <t>Cost/month</t>
  </si>
  <si>
    <t>CAM CHARGES CALCULATION SUMMARY  - OGM-Jun`23</t>
  </si>
  <si>
    <t xml:space="preserve">Total Building Saleable area </t>
  </si>
  <si>
    <t>Area sft</t>
  </si>
  <si>
    <t>CAM Charges INR/ Per sq ft / Month</t>
  </si>
  <si>
    <t>per sq. ft cost</t>
  </si>
  <si>
    <t xml:space="preserve">Per month </t>
  </si>
  <si>
    <t>Per sft</t>
  </si>
  <si>
    <t xml:space="preserve">Management staff </t>
  </si>
  <si>
    <t>Technical manpower</t>
  </si>
  <si>
    <t>HK Manpower</t>
  </si>
  <si>
    <t xml:space="preserve">LP Manpower -Security Services </t>
  </si>
  <si>
    <t>AMC</t>
  </si>
  <si>
    <t>Consumables</t>
  </si>
  <si>
    <t>Common area Electrical &amp; DG Charges</t>
  </si>
  <si>
    <t>Common area Water charges</t>
  </si>
  <si>
    <t>Sewerage Tanker</t>
  </si>
  <si>
    <t>FMS Cost</t>
  </si>
  <si>
    <t>Additonal Expenditure</t>
  </si>
  <si>
    <t>A</t>
  </si>
  <si>
    <t>Contingency, Sinking Fund @2%</t>
  </si>
  <si>
    <t>B</t>
  </si>
  <si>
    <t>Tenant CAM details-OGM-Jun`23</t>
  </si>
  <si>
    <t>Floor</t>
  </si>
  <si>
    <t>CAM cost per Sft</t>
  </si>
  <si>
    <t>Ground Floor</t>
  </si>
  <si>
    <t>S.NO</t>
  </si>
  <si>
    <t xml:space="preserve">  SBUA </t>
  </si>
  <si>
    <t>Ownership</t>
  </si>
  <si>
    <t>Tenants</t>
  </si>
  <si>
    <t>CAM Cost</t>
  </si>
  <si>
    <t>Carpet Area</t>
  </si>
  <si>
    <t>Cost/Sft</t>
  </si>
  <si>
    <t>Retail 01</t>
  </si>
  <si>
    <t>Amar Chowdhary</t>
  </si>
  <si>
    <t>HDFC Bank Ltd</t>
  </si>
  <si>
    <t>Retail 02</t>
  </si>
  <si>
    <t>UDS Landowners</t>
  </si>
  <si>
    <t>Milu Foods (Vacs Bakery)</t>
  </si>
  <si>
    <t>Retail 03</t>
  </si>
  <si>
    <t>KSR Group</t>
  </si>
  <si>
    <t>Chicken Wild Wings Pvt Ltd</t>
  </si>
  <si>
    <t>Retail 04</t>
  </si>
  <si>
    <t>Aashish Bansal and Mona Bansal</t>
  </si>
  <si>
    <t>Fatcity Hospitality LLP</t>
  </si>
  <si>
    <t>Retail 05</t>
  </si>
  <si>
    <t>Vazir Singh Pilania and Thota Raghu Buchanna</t>
  </si>
  <si>
    <t>Retail 06</t>
  </si>
  <si>
    <t>TanujaNayani and Ratna/Gouri Reddy</t>
  </si>
  <si>
    <t>Retail 07</t>
  </si>
  <si>
    <t>TanujaNayani</t>
  </si>
  <si>
    <t>ICICI Bank Ltd</t>
  </si>
  <si>
    <t>Retail 08</t>
  </si>
  <si>
    <t>K Sudhakar Reddy</t>
  </si>
  <si>
    <t>First Floor</t>
  </si>
  <si>
    <t>Collected CAM</t>
  </si>
  <si>
    <t>Actual CAM</t>
  </si>
  <si>
    <t xml:space="preserve">  SBUA</t>
  </si>
  <si>
    <t>Developer</t>
  </si>
  <si>
    <t>Developer and Landowners</t>
  </si>
  <si>
    <t>Second Floor to Sixth Floor</t>
  </si>
  <si>
    <t>All Offices</t>
  </si>
  <si>
    <t>Microchip Technology India Pvt Ltd</t>
  </si>
  <si>
    <t>Seventh Floor</t>
  </si>
  <si>
    <t>Office 01</t>
  </si>
  <si>
    <t>1A.1</t>
  </si>
  <si>
    <t>Pamara Venkata Ramana Devi  and Pamera Ram Gopal Rao</t>
  </si>
  <si>
    <t>1B.2</t>
  </si>
  <si>
    <t>1B</t>
  </si>
  <si>
    <t>Nirmal + Dileep (DEV)</t>
  </si>
  <si>
    <t>Sub-total</t>
  </si>
  <si>
    <t>Office 02</t>
  </si>
  <si>
    <t>Avinash Kotagiri (DEV)</t>
  </si>
  <si>
    <t>Office 03</t>
  </si>
  <si>
    <t>Ananth+Dileep+Anoop (DEV)</t>
  </si>
  <si>
    <t>3A.1</t>
  </si>
  <si>
    <t>Ananth(DEV)</t>
  </si>
  <si>
    <t>3A.2</t>
  </si>
  <si>
    <t>Bhavya Reddy 2,500 Sq.Ft</t>
  </si>
  <si>
    <t>3B.1</t>
  </si>
  <si>
    <t>Sasya Reddy 2,500 Sq.Ft</t>
  </si>
  <si>
    <t>3B.2</t>
  </si>
  <si>
    <t>Anoop (DEV)</t>
  </si>
  <si>
    <t>Office 04</t>
  </si>
  <si>
    <t>Eighth Floor</t>
  </si>
  <si>
    <t>Tachyon IT Solutions Pvt Ltd (DEV)</t>
  </si>
  <si>
    <t>Ninth Floor</t>
  </si>
  <si>
    <t>Pulluri Mining and Logistics Pvt Ltd (DEV)</t>
  </si>
  <si>
    <t>UDS Developer Arjun Rao Group</t>
  </si>
  <si>
    <t>Arjun Rao (DEV)</t>
  </si>
  <si>
    <t>Karabee Kailash (Ohja) (DEV)</t>
  </si>
  <si>
    <t>Jakka Deepa (DEV)</t>
  </si>
  <si>
    <t>Indu Priya (DEV)</t>
  </si>
  <si>
    <t>AGA Infra Projects Pvt Ltd (DEV)</t>
  </si>
  <si>
    <t>Tenth Floor</t>
  </si>
  <si>
    <t>Raj Kumar Maganti &amp; Pradeep Kumar Maganti /Siri Sampada</t>
  </si>
  <si>
    <t>Siri Sampada Real Estate</t>
  </si>
  <si>
    <t>Srinivas Reddy Challa (DEV)</t>
  </si>
  <si>
    <t>Shruti Gummadi (DEV)</t>
  </si>
  <si>
    <t>Deepthi Kesireddy (DEV)</t>
  </si>
  <si>
    <t>Chandralekha Kesireddy (DEV)</t>
  </si>
  <si>
    <t>Manohar SP (DEV)</t>
  </si>
  <si>
    <t>Shwetha Reddy</t>
  </si>
  <si>
    <t>Sukender Reddy Pulusani, Vijay Kumar &amp; Others.</t>
  </si>
  <si>
    <t>Kadiyala Venkateshwar Rao</t>
  </si>
  <si>
    <t>Sunkara Vijaya Durga &amp; Sunkara Jishna Sathwik</t>
  </si>
  <si>
    <t>Sukender Reddy Pulusani</t>
  </si>
  <si>
    <t>Neetha Pulusani</t>
  </si>
  <si>
    <t>Kireet Reddy Pulusani</t>
  </si>
  <si>
    <t>Krishna Kumar Vempati</t>
  </si>
  <si>
    <t>J Vijay Kumar &amp; Laxmi</t>
  </si>
  <si>
    <t>Rohan Mandala &amp; Sridhar Anisha (DEV)</t>
  </si>
  <si>
    <t>Eleventh Floor</t>
  </si>
  <si>
    <t>1A</t>
  </si>
  <si>
    <t>Madhusudhan Reddy Kypa(Dileep kurnool)</t>
  </si>
  <si>
    <t>Pavan Kumar Mummasani &amp; Manasa Priyadharshini (DEV)</t>
  </si>
  <si>
    <t>UDS Landowners (KDR Family)</t>
  </si>
  <si>
    <t>K. Rajesh Reddy (LO)</t>
  </si>
  <si>
    <t>K Saritha(LO)</t>
  </si>
  <si>
    <t>K Ramachandra Reddy (LO)</t>
  </si>
  <si>
    <t>K Spandana(LO)</t>
  </si>
  <si>
    <t>Arundathi(LO)</t>
  </si>
  <si>
    <t>Manjula(LO)</t>
  </si>
  <si>
    <t>Twelfth Floor</t>
  </si>
  <si>
    <t>K. Tanuja (DEV)</t>
  </si>
  <si>
    <t>UDS (Developer + Landowner)</t>
  </si>
  <si>
    <t>Madhukar Reddy (LO)</t>
  </si>
  <si>
    <t>K.Tanuja (DEV)</t>
  </si>
  <si>
    <t>Sub-Total</t>
  </si>
  <si>
    <t>UDS Developer</t>
  </si>
  <si>
    <t>V Sumitha (DEV)</t>
  </si>
  <si>
    <t>Thirteenth/ Fourteenth Floor</t>
  </si>
  <si>
    <t>Anusha G (Raj Kumar) (DEV)</t>
  </si>
  <si>
    <t>1A.2</t>
  </si>
  <si>
    <t>Deepthi Reddy Kesireddy</t>
  </si>
  <si>
    <t>Dr Kaushik (DEV)</t>
  </si>
  <si>
    <t>P Ram Reddy and P Krishna Kumari (DEV)</t>
  </si>
  <si>
    <t xml:space="preserve">P Ram Reddy </t>
  </si>
  <si>
    <t>P Krishna Kumari</t>
  </si>
  <si>
    <t>MMR Group + Uday Kumar Group (DEV)</t>
  </si>
  <si>
    <t>MMR Group</t>
  </si>
  <si>
    <t>3.1.1</t>
  </si>
  <si>
    <t>Madhan Mohan Reddy</t>
  </si>
  <si>
    <t>3.1.2</t>
  </si>
  <si>
    <t>Guru Devi</t>
  </si>
  <si>
    <t>3.1.3</t>
  </si>
  <si>
    <t>Shiva Shankar Reddy</t>
  </si>
  <si>
    <t>3.1.4</t>
  </si>
  <si>
    <t>Sreedevi Mallepu</t>
  </si>
  <si>
    <t>Uday Kumar Group</t>
  </si>
  <si>
    <t>3.2.1</t>
  </si>
  <si>
    <t>Deepika K</t>
  </si>
  <si>
    <t>3.2.2</t>
  </si>
  <si>
    <t>Sarika</t>
  </si>
  <si>
    <t>3.2.3</t>
  </si>
  <si>
    <t>Surender Reddy</t>
  </si>
  <si>
    <t>3.2.4</t>
  </si>
  <si>
    <t>Raghunandan Reddy</t>
  </si>
  <si>
    <t>KSR A (LO)</t>
  </si>
  <si>
    <t>K.Ratna (LO)</t>
  </si>
  <si>
    <t>Gouri Reddy (LO)</t>
  </si>
  <si>
    <t>Fifteenth Floor</t>
  </si>
  <si>
    <t>K Ratna (LO)</t>
  </si>
  <si>
    <t>UDS (KSR A + Gouri Reddy)</t>
  </si>
  <si>
    <t>KSR B (LO)</t>
  </si>
  <si>
    <t>TOTAL OFFICE SBUA</t>
  </si>
  <si>
    <t>TOTAL CAM CHARGES</t>
  </si>
  <si>
    <t>CAM CHARGES CALCULATION SUMMARY  - OGM-Jul`23</t>
  </si>
  <si>
    <t>Sewerage Tanker/Water Tanker</t>
  </si>
  <si>
    <t>Liosaning &amp; Licenses</t>
  </si>
  <si>
    <t>Tenant CAM details-OGM-Jul`23</t>
  </si>
  <si>
    <t xml:space="preserve">CAM CHARGES CALCULATION SUMMARY  - OGM-Aug`23 </t>
  </si>
  <si>
    <t>Tenant CAM details-OGM-Aug`23</t>
  </si>
  <si>
    <t xml:space="preserve">CAM CHARGES CALCULATION SUMMARY  - OGM-Sep`23 </t>
  </si>
  <si>
    <t>Tenant CAM details-OGM-Oct`23</t>
  </si>
  <si>
    <t xml:space="preserve">CAM CHARGES CALCULATION SUMMARY  - OGM-Oct`23 </t>
  </si>
  <si>
    <t>.</t>
  </si>
  <si>
    <t xml:space="preserve">CAM CHARGES CALCULATION SUMMARY  - OGM-Nov`23 </t>
  </si>
  <si>
    <t>Stationary-9-Nov`23</t>
  </si>
  <si>
    <t>TSSPDCL-Dairy-16666, Diwali sweets-46930</t>
  </si>
  <si>
    <t>Tenant CAM details-OGM-Nov`23</t>
  </si>
  <si>
    <t xml:space="preserve">CAM CHARGES CALCULATION SUMMARY  - OGM-Dec`23 </t>
  </si>
  <si>
    <t>Tenant CAM details-OGM-Dec`23</t>
  </si>
  <si>
    <t xml:space="preserve">CAM CHARGES CALCULATION SUMMARY  - OGM-Jan`24 </t>
  </si>
  <si>
    <t xml:space="preserve">Total Building Saleable Area </t>
  </si>
  <si>
    <t>MCP Occupied area</t>
  </si>
  <si>
    <t>OGM Area</t>
  </si>
  <si>
    <t>Per Sft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</si>
  <si>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</si>
  <si>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t>Consumables Excl MCP</t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</si>
  <si>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</si>
  <si>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</si>
  <si>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</si>
  <si>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t>S No</t>
  </si>
  <si>
    <t>Total Area in SFT</t>
  </si>
  <si>
    <t>% on Total area</t>
  </si>
  <si>
    <t>Total building common area</t>
  </si>
  <si>
    <t>MCP Utilization common area</t>
  </si>
  <si>
    <t>Housekeeping</t>
  </si>
  <si>
    <t>Technical</t>
  </si>
  <si>
    <t>B4 parking</t>
  </si>
  <si>
    <t>January`24</t>
  </si>
  <si>
    <t>Consumed KL</t>
  </si>
  <si>
    <t>Rate/KL</t>
  </si>
  <si>
    <t>Amount</t>
  </si>
  <si>
    <t>MCP cooling tower water consumption</t>
  </si>
  <si>
    <t>Water meter not fixed.</t>
  </si>
  <si>
    <t>Tenant CAM details-OGM-Jan`24</t>
  </si>
  <si>
    <t xml:space="preserve">CAM CHARGES CALCULATION SUMMARY  - OGM-Feb`24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</si>
  <si>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</si>
  <si>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</si>
  <si>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</si>
  <si>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</si>
  <si>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</si>
  <si>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Total Building common area</t>
  </si>
  <si>
    <t>February`24</t>
  </si>
  <si>
    <t>MCP cooling tower consumption</t>
  </si>
  <si>
    <t>Tenant CAM details-OGM-Feb`24</t>
  </si>
  <si>
    <t xml:space="preserve">CAM CHARGES CALCULATION SUMMARY  - OGM-Mar`24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</si>
  <si>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</si>
  <si>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</si>
  <si>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</si>
  <si>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</si>
  <si>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</si>
  <si>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</si>
  <si>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MCP Utilization common area excluding B4 parking</t>
  </si>
  <si>
    <t>March`24</t>
  </si>
  <si>
    <t>Tenant CAM details-OGM-Mar`24</t>
  </si>
  <si>
    <t xml:space="preserve">CAM CHARGES CALCULATION SUMMARY  - OGM-Apr`24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</si>
  <si>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</si>
  <si>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</si>
  <si>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</si>
  <si>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</si>
  <si>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</si>
  <si>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</si>
  <si>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April`24</t>
  </si>
  <si>
    <t>AMCs</t>
  </si>
  <si>
    <t>Pest control</t>
  </si>
  <si>
    <t>Garbage pick-up</t>
  </si>
  <si>
    <t>HMWSS charges</t>
  </si>
  <si>
    <t>STP operations- Feb`24 &amp; Mar`24</t>
  </si>
  <si>
    <t>B3 temporary sintex tank cleaning</t>
  </si>
  <si>
    <t>Ground floor BMS room AC unit repairing charges</t>
  </si>
  <si>
    <t>OGM office printer cartridge and domestic line highrise plumbing items</t>
  </si>
  <si>
    <t>Common area Electrical &amp; DG Charges (Tech %Share)</t>
  </si>
  <si>
    <t>Common area EB &amp; DG charges for the month of May`24</t>
  </si>
  <si>
    <t>ACD common area share for the month of May`24</t>
  </si>
  <si>
    <t>Tenant CAM details-OGM-Apr`24</t>
  </si>
  <si>
    <t xml:space="preserve">CAM CHARGES CALCULATION SUMMARY  - OGM-May`24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</si>
  <si>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</si>
  <si>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</si>
  <si>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</si>
  <si>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</si>
  <si>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AMC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</si>
  <si>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</si>
  <si>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</si>
  <si>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</si>
  <si>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</si>
  <si>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</si>
  <si>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Computer service and AutoCAD installation</t>
  </si>
  <si>
    <t>Button cell for water TDS &amp; PH meters</t>
  </si>
  <si>
    <t>Electrical CEIG drawings printout for CEIG inspection</t>
  </si>
  <si>
    <t>TS Fire expenses ( 3.5 Lacs / 3 Months)</t>
  </si>
  <si>
    <t>Need to reconfirm with the data share to microchip</t>
  </si>
  <si>
    <t>Water bottles case for CEIG inspection</t>
  </si>
  <si>
    <t>Tenant CAM details-OGM-May`24</t>
  </si>
  <si>
    <t xml:space="preserve">CAM CHARGES CALCULATION SUMMARY  - OGM-Jun`24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</si>
  <si>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</si>
  <si>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</si>
  <si>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</si>
  <si>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</si>
  <si>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AMC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</si>
  <si>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</si>
  <si>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</si>
  <si>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</si>
  <si>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</si>
  <si>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</si>
  <si>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STP operations- Jun`24</t>
  </si>
  <si>
    <t>Cooling Tower Chemicals-</t>
  </si>
  <si>
    <t>Excl. MCP</t>
  </si>
  <si>
    <t>Carpentry material</t>
  </si>
  <si>
    <t>Brooms-10 no`s</t>
  </si>
  <si>
    <t>HK</t>
  </si>
  <si>
    <t>Water bottle and room freshner</t>
  </si>
  <si>
    <t>Handwash and bleaching powder</t>
  </si>
  <si>
    <t>Toilet cleaner</t>
  </si>
  <si>
    <t>Fire extinguishers covers and tags</t>
  </si>
  <si>
    <t>Common area EB &amp; DG charges for the month of Jun`24</t>
  </si>
  <si>
    <t>ACD common area share for the month of Jun`24 Amortization 3/3</t>
  </si>
  <si>
    <t>Building Insurance-TATA AIG-Total</t>
  </si>
  <si>
    <t>Building Insurance- Amortization-1/3</t>
  </si>
  <si>
    <t>Tenant CAM details-OGM-Jun`24</t>
  </si>
  <si>
    <t xml:space="preserve">CAM CHARGES CALCULATION SUMMARY  - OGM-Jul`24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</si>
  <si>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</si>
  <si>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</si>
  <si>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</si>
  <si>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</si>
  <si>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AMC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</si>
  <si>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</si>
  <si>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</si>
  <si>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</si>
  <si>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</si>
  <si>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</si>
  <si>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STP operations- Jul`24</t>
  </si>
  <si>
    <t>Crystal Salt for WTP regeneration</t>
  </si>
  <si>
    <t>Apex, Façade glass cleaning</t>
  </si>
  <si>
    <t>DG set B-check maintenance</t>
  </si>
  <si>
    <t>Kitchen grease trap</t>
  </si>
  <si>
    <t>Fire pump- Airvent</t>
  </si>
  <si>
    <t>B4-Sump pump capacitor</t>
  </si>
  <si>
    <t>SLD color print out for CEIG inspection</t>
  </si>
  <si>
    <t>Registers</t>
  </si>
  <si>
    <t>First Aid medicine</t>
  </si>
  <si>
    <t>15th August-decorations</t>
  </si>
  <si>
    <t>Common area EB &amp; DG charges for the month of Jul`24</t>
  </si>
  <si>
    <t>Building Insurance- Amortization-2/3</t>
  </si>
  <si>
    <t xml:space="preserve">CAM CHARGES CALCULATION SUMMARY  - OGM-Aug`24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</si>
  <si>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</si>
  <si>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</si>
  <si>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</si>
  <si>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</si>
  <si>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AMC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</si>
  <si>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</si>
  <si>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</si>
  <si>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</si>
  <si>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</si>
  <si>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</si>
  <si>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STP operations- Aug`24</t>
  </si>
  <si>
    <t>SVR Enterprises-Kent RO Service</t>
  </si>
  <si>
    <t>15th August flag hoisting- petty bills</t>
  </si>
  <si>
    <t>Yashaswi infotech</t>
  </si>
  <si>
    <t>Common area EB &amp; DG charges for the month of Aug`24</t>
  </si>
  <si>
    <t>CFO Application fee for 2 years (May-2025)</t>
  </si>
  <si>
    <t>Building Insurance- Amortization-3/3</t>
  </si>
  <si>
    <t>CFO Application fee Amortization-(1/3)</t>
  </si>
  <si>
    <t>Tenant CAM details-OGM-Aug`24</t>
  </si>
  <si>
    <t xml:space="preserve">CAM CHARGES CALCULATION SUMMARY  - OGM-Sep`24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</si>
  <si>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</si>
  <si>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</si>
  <si>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</si>
  <si>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</si>
  <si>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AMC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</si>
  <si>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</si>
  <si>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</si>
  <si>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</si>
  <si>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</si>
  <si>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</si>
  <si>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STP operations- Sep`24</t>
  </si>
  <si>
    <t>Kitchen Grease trap cleaning</t>
  </si>
  <si>
    <t>Ganesh festival expenses</t>
  </si>
  <si>
    <t>Core cutting for Ground floor meeting rooms</t>
  </si>
  <si>
    <t>Thinner</t>
  </si>
  <si>
    <t>Common area EB &amp; DG charges for the month of Sep`24</t>
  </si>
  <si>
    <t>CFO Application fee Amortization-(2/3)</t>
  </si>
  <si>
    <t>Tenant CAM details-OGM-Sep`24</t>
  </si>
  <si>
    <t xml:space="preserve">CAM CHARGES CALCULATION SUMMARY  - OGM-Oct`24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</si>
  <si>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</si>
  <si>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</si>
  <si>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</si>
  <si>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</si>
  <si>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AMC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</si>
  <si>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</si>
  <si>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</si>
  <si>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</si>
  <si>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</si>
  <si>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</si>
  <si>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STP operations- Oct`24</t>
  </si>
  <si>
    <t>Consumables Cost</t>
  </si>
  <si>
    <t>HK Consumables</t>
  </si>
  <si>
    <t>SS Big dustbins</t>
  </si>
  <si>
    <t>Dusshera festival department expenses</t>
  </si>
  <si>
    <t>Dusshera festival Catering</t>
  </si>
  <si>
    <t>Dusshera festival pooja expenses and lunch expenses</t>
  </si>
  <si>
    <t>Tinner</t>
  </si>
  <si>
    <t>Castic Soda</t>
  </si>
  <si>
    <t>Rangoli-Diwali</t>
  </si>
  <si>
    <t>B-1 Staff washroom duplicate keys</t>
  </si>
  <si>
    <t>Refreshment for Meeting-03-10-2024</t>
  </si>
  <si>
    <t>PCB refreshment-04-10-2024</t>
  </si>
  <si>
    <t>Debris clearing-19-10-2024</t>
  </si>
  <si>
    <t>Debris clearing-25-10-2024</t>
  </si>
  <si>
    <t>Vison labs water testing-19-09-2024</t>
  </si>
  <si>
    <t>Common area EB &amp; DG charges for the month of Oct`24</t>
  </si>
  <si>
    <t>CFO Application fee Amortization-(3/3)</t>
  </si>
  <si>
    <t>Tenant CAM details-OGM-Oct`24</t>
  </si>
  <si>
    <t>Retail 01A</t>
  </si>
  <si>
    <t>Retail 01B</t>
  </si>
  <si>
    <t>Retail 03A</t>
  </si>
  <si>
    <t>Retail 03B</t>
  </si>
  <si>
    <t xml:space="preserve">CAM CHARGES CALCULATION SUMMARY  - OGM-Nov`24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</si>
  <si>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</si>
  <si>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</si>
  <si>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</si>
  <si>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</si>
  <si>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AMC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</si>
  <si>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</si>
  <si>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</si>
  <si>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</si>
  <si>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</si>
  <si>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</si>
  <si>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STP operations- Nov`24</t>
  </si>
  <si>
    <t>Gardening services period (Oct'23 to April'24)</t>
  </si>
  <si>
    <t>bal. 7 months due</t>
  </si>
  <si>
    <t>Tent-house curtains and caustic soda for Nailashes inauguration works</t>
  </si>
  <si>
    <t>Hand driers-10 no`s, Euronics</t>
  </si>
  <si>
    <t>7 ltrs SS dustbins-40No`s-Sri Rudhi</t>
  </si>
  <si>
    <t>GF-Retail washroom ceiling tiles work- Ram Vilas</t>
  </si>
  <si>
    <t>Konda Engineering-Security Barrigade and caution boards</t>
  </si>
  <si>
    <t>Mobile phones for staff</t>
  </si>
  <si>
    <t>TGSPDCL refreshments on 27-11-2024</t>
  </si>
  <si>
    <t>Slotted angle racks- 20 no`s-Uttam furniture</t>
  </si>
  <si>
    <t>Common area EB &amp; DG charges for the month of Nov`24</t>
  </si>
  <si>
    <t>CFO periodic fee for 2 years (Nov`24 to Jul`26)- 20months</t>
  </si>
  <si>
    <t>CFO Application fee Amortization-(1/20)</t>
  </si>
  <si>
    <t>Tenant CAM details-OGM-Nov`24</t>
  </si>
  <si>
    <t xml:space="preserve">CAM CHARGES CALCULATION SUMMARY  - OGM-Dec`24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</si>
  <si>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</si>
  <si>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</si>
  <si>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</si>
  <si>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</si>
  <si>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AMC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</si>
  <si>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</si>
  <si>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</si>
  <si>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</si>
  <si>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</si>
  <si>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</si>
  <si>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STP operations</t>
  </si>
  <si>
    <t>Cooling Tower Chemicals</t>
  </si>
  <si>
    <t>Kitchen Grease trap cleaning - Aqua Environ</t>
  </si>
  <si>
    <t>Gardening services (May'24 to Oct'24)</t>
  </si>
  <si>
    <t>Wringer Trolleys- Pavan Enterprises</t>
  </si>
  <si>
    <t>Mats - Euronics</t>
  </si>
  <si>
    <t>Emerald Tools Corporation- AHU V-belts</t>
  </si>
  <si>
    <t>2 no.s Mobile phones</t>
  </si>
  <si>
    <t>Bandari Agency - Fire Extinguisher stands</t>
  </si>
  <si>
    <t>Urban Exotic - Planters</t>
  </si>
  <si>
    <t>Petty Cash Bills</t>
  </si>
  <si>
    <t>Common area DG charges for the month of Dec`24</t>
  </si>
  <si>
    <t>Common area EB charges for the month of Dec`24</t>
  </si>
  <si>
    <t>CFO Application fee Amortization-(2/20)</t>
  </si>
  <si>
    <t xml:space="preserve">CAM CHARGES CALCULATION SUMMARY  - OGM-Jan`25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</si>
  <si>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</si>
  <si>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</si>
  <si>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</si>
  <si>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</si>
  <si>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t>AMC Including MCP</t>
  </si>
  <si>
    <t>AMC Excluding MCP</t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</si>
  <si>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</si>
  <si>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</si>
  <si>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</si>
  <si>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</si>
  <si>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</si>
  <si>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AMCs Including MCP</t>
  </si>
  <si>
    <t>Gardening services (Nov'23 to Jan'25)</t>
  </si>
  <si>
    <t>Lavin Laboratories</t>
  </si>
  <si>
    <t>AMCs Excluding MCP</t>
  </si>
  <si>
    <t>GLS Pool Solutions LLP</t>
  </si>
  <si>
    <t>Rupam Decors</t>
  </si>
  <si>
    <t>Sidda Reddy Nukala</t>
  </si>
  <si>
    <t>Petty Expenses</t>
  </si>
  <si>
    <t>Dhanalaxmi ply</t>
  </si>
  <si>
    <t>Sai Prakash Crane Services</t>
  </si>
  <si>
    <t>Ancient Living Products Pvt Ltd</t>
  </si>
  <si>
    <t>Pavan Enterprises</t>
  </si>
  <si>
    <t>Sand &amp; Cement</t>
  </si>
  <si>
    <t>Common area DG charges for the month of Jan`25</t>
  </si>
  <si>
    <t>Common area EB charges for the month of Jan`25</t>
  </si>
  <si>
    <t>CFO Application fee Amortization-(3/20)</t>
  </si>
  <si>
    <t xml:space="preserve">CAM CHARGES CALCULATION SUMMARY  - OGM-Feb`25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</si>
  <si>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</si>
  <si>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</si>
  <si>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</si>
  <si>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</si>
  <si>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</si>
  <si>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</si>
  <si>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</si>
  <si>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</si>
  <si>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</si>
  <si>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Gardening services</t>
  </si>
  <si>
    <t>Airtel</t>
  </si>
  <si>
    <t>BMS Building Maintenance &amp; Services</t>
  </si>
  <si>
    <t>TSSPDCL Electrical contractor</t>
  </si>
  <si>
    <t>H.O.M.</t>
  </si>
  <si>
    <t>Kent RO Service</t>
  </si>
  <si>
    <t>Electrical technicians of TSSPDCL contractor</t>
  </si>
  <si>
    <t>On Amazon site</t>
  </si>
  <si>
    <t>Dev Paint &amp; Polish</t>
  </si>
  <si>
    <t>Common area DG charges for the month of Feb`25</t>
  </si>
  <si>
    <t>Common area EB charges for the month of Feb`25</t>
  </si>
  <si>
    <t>CFO Application fee Amortization-(4/20)</t>
  </si>
  <si>
    <t xml:space="preserve">CAM CHARGES CALCULATION SUMMARY  - OGM-Mar`25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</si>
  <si>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</si>
  <si>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</si>
  <si>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</si>
  <si>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</si>
  <si>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</si>
  <si>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</si>
  <si>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</si>
  <si>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</si>
  <si>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</si>
  <si>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HK  Material-Corporate FM Services</t>
  </si>
  <si>
    <t>ELV Group</t>
  </si>
  <si>
    <t>Petty cash expenses</t>
  </si>
  <si>
    <t>Dhanalaxmi Ply</t>
  </si>
  <si>
    <t>Nilkamal Limited</t>
  </si>
  <si>
    <t>Vivish Technologies (P) Ltd.</t>
  </si>
  <si>
    <t>Sri Tulasi Power Transformers and Switchgears</t>
  </si>
  <si>
    <t>I.K. Hospitalities</t>
  </si>
  <si>
    <t>Common area DG charges for the month of Mar`25</t>
  </si>
  <si>
    <t>Common area EB charges for the month of Mar`25</t>
  </si>
  <si>
    <t>CFO Application fee Amortization-(5/20)</t>
  </si>
  <si>
    <t xml:space="preserve">CAM CHARGES CALCULATION SUMMARY  - OGM-Apr`25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</si>
  <si>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</si>
  <si>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</si>
  <si>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</si>
  <si>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</si>
  <si>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</si>
  <si>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</si>
  <si>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</si>
  <si>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</si>
  <si>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</si>
  <si>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Urban Exotic</t>
  </si>
  <si>
    <t>Veerabhadra Core cutting works</t>
  </si>
  <si>
    <t>Bharti Airtel</t>
  </si>
  <si>
    <t>Common area DG charges for the month of Apr`25</t>
  </si>
  <si>
    <t>Common area EB charges for the month of Apr`25</t>
  </si>
  <si>
    <t>Fire &amp; Peril Insurance (April-25 to March 2026</t>
  </si>
  <si>
    <t>CFO Application fee Amortization-(6/20)</t>
  </si>
  <si>
    <t>Fire &amp; Peril Insurance (1/12)</t>
  </si>
  <si>
    <t xml:space="preserve">CAM CHARGES CALCULATION SUMMARY  - OGM-May`25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</si>
  <si>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</si>
  <si>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</si>
  <si>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</si>
  <si>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</si>
  <si>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</si>
  <si>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</si>
  <si>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</si>
  <si>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</si>
  <si>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</si>
  <si>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Dhrivi Constructions LLP</t>
  </si>
  <si>
    <t>Amazon</t>
  </si>
  <si>
    <t>Veera Bhadra</t>
  </si>
  <si>
    <t>Common area DG charges for the month of May`25</t>
  </si>
  <si>
    <t>Common area EB charges for the month of May`25</t>
  </si>
  <si>
    <t>CFO Application fee Amortization-(7/20)</t>
  </si>
  <si>
    <t>Fire &amp; Peril Insurance (2/12)</t>
  </si>
  <si>
    <t xml:space="preserve">CAM CHARGES CALCULATION SUMMARY  - OGM-Jun`25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</si>
  <si>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</si>
  <si>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</si>
  <si>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</si>
  <si>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</si>
  <si>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</si>
  <si>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</si>
  <si>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</si>
  <si>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</si>
  <si>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</si>
  <si>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Airtel Bill</t>
  </si>
  <si>
    <t>Aqua Enviro Enterprises</t>
  </si>
  <si>
    <t>Plant Air Enterprises &amp; I K Hospitalities</t>
  </si>
  <si>
    <t>Industrial Consultants &amp; Engineers</t>
  </si>
  <si>
    <t>Dhanlaxmi Enterprises</t>
  </si>
  <si>
    <t>Ryali Technologies</t>
  </si>
  <si>
    <t>Common area DG charges for the month of Jun`25</t>
  </si>
  <si>
    <t>Common area EB charges for the month of Jun`25</t>
  </si>
  <si>
    <t>CFO Application fee Amortization-(8/20)</t>
  </si>
  <si>
    <t>Fire &amp; Peril Insurance (3/12)</t>
  </si>
  <si>
    <t xml:space="preserve">CAM CHARGES CALCULATION SUMMARY  - OGM-Jul`25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</si>
  <si>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</si>
  <si>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</si>
  <si>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</si>
  <si>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</si>
  <si>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</si>
  <si>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</si>
  <si>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</si>
  <si>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</si>
  <si>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</si>
  <si>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Perfect Buiness Systems</t>
  </si>
  <si>
    <t>SK Gupta Valves Pvt Ltd</t>
  </si>
  <si>
    <t>SVR Enterprises</t>
  </si>
  <si>
    <t>Virtual Smart Technologies</t>
  </si>
  <si>
    <t>Konda Engineering Co</t>
  </si>
  <si>
    <t>Common area DG charges for the month of Jul`25</t>
  </si>
  <si>
    <t>Common area EB charges for the month of Jul`25</t>
  </si>
  <si>
    <t>CFO Application fee Amortization-(9/20)</t>
  </si>
  <si>
    <t>Fire &amp; Peril Insurance (4/12)</t>
  </si>
  <si>
    <t xml:space="preserve">CAM CHARGES CALCULATION SUMMARY  - OGM-Aug`25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</si>
  <si>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</si>
  <si>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</si>
  <si>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</si>
  <si>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</si>
  <si>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</si>
  <si>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</si>
  <si>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</si>
  <si>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</si>
  <si>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</si>
  <si>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Ganesh Pooja Expenses</t>
  </si>
  <si>
    <t>SR Electrical</t>
  </si>
  <si>
    <t>Cosmo Durables Pvt ltd</t>
  </si>
  <si>
    <t>Common area DG charges for the month of Aug`25</t>
  </si>
  <si>
    <t>Common area EB charges for the month of Aug`25</t>
  </si>
  <si>
    <t>CFO Application fee Amortization-(10/20)</t>
  </si>
  <si>
    <t>Fire &amp; Peril Insurance (5/12)</t>
  </si>
  <si>
    <t xml:space="preserve">CAM CHARGES CALCULATION SUMMARY  - OGM-Sep`25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</si>
  <si>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</si>
  <si>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</si>
  <si>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</si>
  <si>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</si>
  <si>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</si>
  <si>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</si>
  <si>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</si>
  <si>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</si>
  <si>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</si>
  <si>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Prashanthi Electrical Services</t>
  </si>
  <si>
    <t>Bharat Electrical Enterprises</t>
  </si>
  <si>
    <t>Sterling Green Power Solutions Pvt Ltd</t>
  </si>
  <si>
    <t>Dhanlaxmiply</t>
  </si>
  <si>
    <t>GS Smart Cool Systems</t>
  </si>
  <si>
    <t>Essence Constro Equipments Pvt  Ltd</t>
  </si>
  <si>
    <t>IK Hospitalities</t>
  </si>
  <si>
    <t>Common area DG charges for the month of Sep`25</t>
  </si>
  <si>
    <t>Common area EB charges for the month of Sep`25</t>
  </si>
  <si>
    <t>CFO Application fee Amortization-(11/20)</t>
  </si>
  <si>
    <t>Fire &amp; Peril Insurance (6/12)</t>
  </si>
  <si>
    <t xml:space="preserve">CAM CHARGES CALCULATION SUMMARY  - OGM-Oct`25 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</si>
  <si>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</si>
  <si>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</si>
  <si>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</si>
  <si>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</si>
  <si>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</si>
  <si>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</si>
  <si>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</si>
  <si>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</si>
  <si>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</si>
  <si>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Essence Constro Equipments Pvt  Ltd - Sep-25</t>
  </si>
  <si>
    <t>Essence Constro Equipments Pvt  Ltd -Oct-25</t>
  </si>
  <si>
    <t>Sri Gananadha Industrial Corporation</t>
  </si>
  <si>
    <t>Jai Pooja Enterprises</t>
  </si>
  <si>
    <t>G S Tubes and Valves Inc</t>
  </si>
  <si>
    <t>Petty Cash</t>
  </si>
  <si>
    <t>Common area DG charges for the month of Oct`25</t>
  </si>
  <si>
    <t>Common area EB charges for the month of Oct`25</t>
  </si>
  <si>
    <t>CFO Application fee Amortization-(12/20)</t>
  </si>
  <si>
    <t>Fire &amp; Peril Insurance (7/12)</t>
  </si>
  <si>
    <t xml:space="preserve">CAM CHARGES CALCULATION SUMMARY  - OGM-Nov`25 </t>
  </si>
  <si>
    <t>MCP Per Sft</t>
  </si>
  <si>
    <t>OGM Per Sft</t>
  </si>
  <si>
    <r>
      <rPr>
        <sz val="11"/>
        <color theme="1"/>
        <rFont val="Bookman Old Style"/>
      </rPr>
      <t xml:space="preserve">Management staff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</si>
  <si>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Technical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</si>
  <si>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HK Manpower </t>
    </r>
    <r>
      <rPr>
        <b/>
        <sz val="11"/>
        <color theme="1"/>
        <rFont val="Bookman Old Style"/>
      </rPr>
      <t>(% Share)</t>
    </r>
  </si>
  <si>
    <r>
      <rPr>
        <sz val="11"/>
        <color theme="1"/>
        <rFont val="Bookman Old Style"/>
      </rPr>
      <t xml:space="preserve">LP Manpower -Security Services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</si>
  <si>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Consumables </t>
    </r>
    <r>
      <rPr>
        <b/>
        <sz val="11"/>
        <color theme="1"/>
        <rFont val="Bookman Old Style"/>
      </rPr>
      <t>(HK %Share)</t>
    </r>
  </si>
  <si>
    <r>
      <rPr>
        <sz val="11"/>
        <color theme="1"/>
        <rFont val="Bookman Old Style"/>
      </rPr>
      <t xml:space="preserve">Common area Electrical &amp; DG Charges </t>
    </r>
    <r>
      <rPr>
        <b/>
        <sz val="11"/>
        <color theme="1"/>
        <rFont val="Bookman Old Style"/>
      </rPr>
      <t>(Tech %Share)</t>
    </r>
  </si>
  <si>
    <r>
      <rPr>
        <sz val="11"/>
        <color theme="1"/>
        <rFont val="Bookman Old Style"/>
      </rPr>
      <t xml:space="preserve">Common area Water charges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</si>
  <si>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FMS Cost </t>
    </r>
    <r>
      <rPr>
        <b/>
        <sz val="11"/>
        <color theme="1"/>
        <rFont val="Bookman Old Style"/>
      </rPr>
      <t>(By Area)</t>
    </r>
  </si>
  <si>
    <r>
      <rPr>
        <sz val="11"/>
        <color theme="1"/>
        <rFont val="Bookman Old Style"/>
      </rPr>
      <t xml:space="preserve">Liosaning &amp; Licenses </t>
    </r>
    <r>
      <rPr>
        <b/>
        <sz val="11"/>
        <color theme="1"/>
        <rFont val="Bookman Old Style"/>
      </rPr>
      <t>(By Area)</t>
    </r>
  </si>
  <si>
    <t>Corporate FM Services</t>
  </si>
  <si>
    <t>Bandari Lingam Mestri</t>
  </si>
  <si>
    <t>Cyond water proofing work</t>
  </si>
  <si>
    <t>M Shyam Kumar (Debris)</t>
  </si>
  <si>
    <t>Common area DG charges for the month of Nov`25</t>
  </si>
  <si>
    <t>Common area EB charges for the month of Nov`25</t>
  </si>
  <si>
    <t>CFO Application fee Amortization-(13/20)</t>
  </si>
  <si>
    <t>Fire &amp; Peril Insurance (8/12)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</si>
</sst>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_);_(* \(#,##0\);_(* &quot;-&quot;_);_(@_)"/>
    <numFmt numFmtId="165" formatCode="0.0"/>
    <numFmt numFmtId="166" formatCode="_ * #,##0_ ;_ * \-#,##0_ ;_ * &quot;-&quot;??_ ;_ @_ "/>
    <numFmt numFmtId="167" formatCode="_(* #,##0.00_);_(* \(#,##0.00\);_(* &quot;-&quot;_);_(@_)"/>
    <numFmt numFmtId="168" formatCode="_(* #,##0.00_);_(* \(#,##0.00\);_(* &quot;-&quot;??_);_(@_)"/>
    <numFmt numFmtId="169" formatCode="_ * #,##0.00_ ;_ * \-#,##0.00_ ;_ * &quot;-&quot;??.00_ ;_ @_ "/>
    <numFmt numFmtId="170" formatCode="[&gt;=10000000]##\,##\,##\,##0;[&gt;=100000]\ ##\,##\,##0;##,##0"/>
    <numFmt numFmtId="171" formatCode="#,##0.0"/>
    <numFmt numFmtId="172" formatCode="mm\-dd\-yyyy"/>
  </numFmts>
  <fonts count="28" x14ac:knownFonts="1">
    <font>
      <sz val="11"/>
      <color theme="1"/>
      <name val="Calibri"/>
      <scheme val="minor"/>
    </font>
    <font>
      <sz val="10"/>
      <color theme="1"/>
      <name val="Calibri"/>
    </font>
    <font>
      <b/>
      <sz val="10"/>
      <color theme="1"/>
      <name val="Bookman Old Style"/>
    </font>
    <font>
      <sz val="11"/>
      <name val="Calibri"/>
    </font>
    <font>
      <sz val="10"/>
      <color theme="1"/>
      <name val="Bookman Old Style"/>
    </font>
    <font>
      <b/>
      <sz val="10"/>
      <color rgb="FF800080"/>
      <name val="Bookman Old Style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4"/>
      <color theme="1"/>
      <name val="Calibri"/>
    </font>
    <font>
      <sz val="12"/>
      <color theme="1"/>
      <name val="Arial"/>
    </font>
    <font>
      <sz val="14"/>
      <color theme="1"/>
      <name val="Calibri"/>
    </font>
    <font>
      <sz val="12"/>
      <color theme="1"/>
      <name val="Calibri"/>
    </font>
    <font>
      <b/>
      <sz val="12"/>
      <color theme="1"/>
      <name val="Arial"/>
    </font>
    <font>
      <sz val="11"/>
      <color theme="1"/>
      <name val="Bookman Old Style"/>
    </font>
    <font>
      <b/>
      <sz val="11"/>
      <color theme="1"/>
      <name val="Bookman Old Style"/>
    </font>
    <font>
      <u/>
      <sz val="11"/>
      <color rgb="FF800080"/>
      <name val="Bookman Old Style"/>
    </font>
    <font>
      <sz val="10"/>
      <color rgb="FFFF0000"/>
      <name val="Bookman Old Style"/>
    </font>
    <font>
      <b/>
      <sz val="10"/>
      <color rgb="FFFF0000"/>
      <name val="Bookman Old Style"/>
    </font>
    <font>
      <b/>
      <sz val="10"/>
      <color rgb="FF000000"/>
      <name val="Bookman Old Style"/>
    </font>
    <font>
      <sz val="10"/>
      <color rgb="FF000000"/>
      <name val="Bookman Old Style"/>
    </font>
    <font>
      <u/>
      <sz val="11"/>
      <color theme="1"/>
      <name val="Bookman Old Style"/>
    </font>
    <font>
      <u/>
      <sz val="11"/>
      <color theme="1"/>
      <name val="Bookman Old Style"/>
    </font>
    <font>
      <u/>
      <sz val="11"/>
      <color theme="1"/>
      <name val="Bookman Old Style"/>
    </font>
    <font>
      <b/>
      <sz val="11"/>
      <color rgb="FF000000"/>
      <name val="Bookman Old Style"/>
    </font>
    <font>
      <u/>
      <sz val="11"/>
      <color theme="1"/>
      <name val="Bookman Old Style"/>
    </font>
    <font>
      <u/>
      <sz val="11"/>
      <color theme="1"/>
      <name val="Bookman Old Style"/>
    </font>
    <font>
      <u/>
      <sz val="11"/>
      <color theme="1"/>
      <name val="Bookman Old Style"/>
    </font>
  </fonts>
  <fills count="1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CD4E0"/>
        <bgColor rgb="FFFCD4E0"/>
      </patternFill>
    </fill>
    <fill>
      <patternFill patternType="solid">
        <fgColor rgb="FFFFCCCC"/>
        <bgColor rgb="FFFFCCCC"/>
      </patternFill>
    </fill>
    <fill>
      <patternFill patternType="solid">
        <fgColor rgb="FFE7E6E6"/>
        <bgColor rgb="FFE7E6E6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</fills>
  <borders count="10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2" borderId="4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166" fontId="2" fillId="2" borderId="4" xfId="0" applyNumberFormat="1" applyFont="1" applyFill="1" applyBorder="1" applyAlignment="1">
      <alignment horizontal="center" vertical="center"/>
    </xf>
    <xf numFmtId="166" fontId="2" fillId="2" borderId="11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6" fontId="2" fillId="2" borderId="1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166" fontId="4" fillId="3" borderId="14" xfId="0" applyNumberFormat="1" applyFont="1" applyFill="1" applyBorder="1" applyAlignment="1">
      <alignment vertical="center"/>
    </xf>
    <xf numFmtId="166" fontId="4" fillId="3" borderId="4" xfId="0" applyNumberFormat="1" applyFont="1" applyFill="1" applyBorder="1" applyAlignment="1">
      <alignment vertical="center"/>
    </xf>
    <xf numFmtId="166" fontId="4" fillId="3" borderId="10" xfId="0" applyNumberFormat="1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166" fontId="4" fillId="4" borderId="4" xfId="0" applyNumberFormat="1" applyFont="1" applyFill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vertical="center"/>
    </xf>
    <xf numFmtId="166" fontId="2" fillId="3" borderId="10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vertical="center"/>
    </xf>
    <xf numFmtId="164" fontId="2" fillId="2" borderId="10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67" fontId="2" fillId="2" borderId="4" xfId="0" applyNumberFormat="1" applyFont="1" applyFill="1" applyBorder="1" applyAlignment="1">
      <alignment vertical="center"/>
    </xf>
    <xf numFmtId="167" fontId="2" fillId="2" borderId="10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43" fontId="6" fillId="0" borderId="0" xfId="0" applyNumberFormat="1" applyFont="1"/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167" fontId="7" fillId="0" borderId="0" xfId="0" applyNumberFormat="1" applyFont="1"/>
    <xf numFmtId="0" fontId="8" fillId="0" borderId="4" xfId="0" applyFont="1" applyBorder="1" applyAlignment="1">
      <alignment horizontal="right"/>
    </xf>
    <xf numFmtId="0" fontId="8" fillId="0" borderId="0" xfId="0" applyFont="1"/>
    <xf numFmtId="168" fontId="1" fillId="0" borderId="0" xfId="0" applyNumberFormat="1" applyFont="1" applyAlignment="1">
      <alignment vertical="center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9" fillId="5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vertical="center" wrapText="1"/>
    </xf>
    <xf numFmtId="3" fontId="11" fillId="6" borderId="4" xfId="0" applyNumberFormat="1" applyFont="1" applyFill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3" fontId="10" fillId="0" borderId="16" xfId="0" applyNumberFormat="1" applyFont="1" applyBorder="1" applyAlignment="1">
      <alignment vertical="center" wrapText="1"/>
    </xf>
    <xf numFmtId="0" fontId="11" fillId="6" borderId="4" xfId="0" applyFont="1" applyFill="1" applyBorder="1" applyAlignment="1">
      <alignment vertical="center" wrapText="1"/>
    </xf>
    <xf numFmtId="3" fontId="9" fillId="7" borderId="4" xfId="0" applyNumberFormat="1" applyFont="1" applyFill="1" applyBorder="1" applyAlignment="1">
      <alignment horizontal="right" vertical="center" wrapText="1"/>
    </xf>
    <xf numFmtId="0" fontId="10" fillId="7" borderId="4" xfId="0" applyFont="1" applyFill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vertical="center" wrapText="1"/>
    </xf>
    <xf numFmtId="3" fontId="11" fillId="8" borderId="4" xfId="0" applyNumberFormat="1" applyFont="1" applyFill="1" applyBorder="1" applyAlignment="1">
      <alignment horizontal="right" vertical="center" wrapText="1"/>
    </xf>
    <xf numFmtId="0" fontId="10" fillId="8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166" fontId="13" fillId="0" borderId="4" xfId="0" applyNumberFormat="1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4" fillId="2" borderId="4" xfId="0" applyFont="1" applyFill="1" applyBorder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right" vertical="center"/>
    </xf>
    <xf numFmtId="164" fontId="14" fillId="2" borderId="4" xfId="0" applyNumberFormat="1" applyFont="1" applyFill="1" applyBorder="1" applyAlignment="1">
      <alignment horizontal="right" vertical="center"/>
    </xf>
    <xf numFmtId="165" fontId="15" fillId="2" borderId="4" xfId="0" applyNumberFormat="1" applyFont="1" applyFill="1" applyBorder="1" applyAlignment="1">
      <alignment horizontal="center" vertical="center"/>
    </xf>
    <xf numFmtId="4" fontId="15" fillId="2" borderId="4" xfId="0" applyNumberFormat="1" applyFont="1" applyFill="1" applyBorder="1" applyAlignment="1">
      <alignment horizontal="right" vertical="center"/>
    </xf>
    <xf numFmtId="164" fontId="14" fillId="0" borderId="0" xfId="0" applyNumberFormat="1" applyFont="1" applyAlignment="1">
      <alignment vertical="center"/>
    </xf>
    <xf numFmtId="0" fontId="14" fillId="3" borderId="4" xfId="0" applyFont="1" applyFill="1" applyBorder="1" applyAlignment="1">
      <alignment horizontal="right" vertical="center"/>
    </xf>
    <xf numFmtId="0" fontId="14" fillId="3" borderId="4" xfId="0" applyFont="1" applyFill="1" applyBorder="1" applyAlignment="1">
      <alignment horizontal="left" vertical="center"/>
    </xf>
    <xf numFmtId="165" fontId="14" fillId="3" borderId="4" xfId="0" applyNumberFormat="1" applyFont="1" applyFill="1" applyBorder="1" applyAlignment="1">
      <alignment horizontal="center" vertical="center"/>
    </xf>
    <xf numFmtId="4" fontId="14" fillId="3" borderId="4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 wrapText="1"/>
    </xf>
    <xf numFmtId="0" fontId="14" fillId="3" borderId="4" xfId="0" applyFont="1" applyFill="1" applyBorder="1" applyAlignment="1">
      <alignment vertical="center"/>
    </xf>
    <xf numFmtId="166" fontId="14" fillId="3" borderId="4" xfId="0" applyNumberFormat="1" applyFont="1" applyFill="1" applyBorder="1" applyAlignment="1">
      <alignment vertical="center"/>
    </xf>
    <xf numFmtId="169" fontId="14" fillId="3" borderId="4" xfId="0" applyNumberFormat="1" applyFont="1" applyFill="1" applyBorder="1" applyAlignment="1">
      <alignment vertical="center"/>
    </xf>
    <xf numFmtId="0" fontId="16" fillId="3" borderId="4" xfId="0" applyFont="1" applyFill="1" applyBorder="1" applyAlignment="1">
      <alignment horizontal="center" vertical="center"/>
    </xf>
    <xf numFmtId="164" fontId="14" fillId="2" borderId="4" xfId="0" applyNumberFormat="1" applyFont="1" applyFill="1" applyBorder="1" applyAlignment="1">
      <alignment vertical="center"/>
    </xf>
    <xf numFmtId="2" fontId="14" fillId="2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167" fontId="15" fillId="2" borderId="4" xfId="0" applyNumberFormat="1" applyFont="1" applyFill="1" applyBorder="1" applyAlignment="1">
      <alignment vertical="center"/>
    </xf>
    <xf numFmtId="2" fontId="15" fillId="2" borderId="4" xfId="0" applyNumberFormat="1" applyFont="1" applyFill="1" applyBorder="1" applyAlignment="1">
      <alignment horizontal="center" vertical="center"/>
    </xf>
    <xf numFmtId="0" fontId="14" fillId="0" borderId="18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" fontId="2" fillId="0" borderId="34" xfId="0" applyNumberFormat="1" applyFont="1" applyBorder="1" applyAlignment="1">
      <alignment horizontal="center" vertical="center" wrapText="1"/>
    </xf>
    <xf numFmtId="4" fontId="2" fillId="0" borderId="35" xfId="0" applyNumberFormat="1" applyFont="1" applyBorder="1" applyAlignment="1">
      <alignment horizontal="center" vertical="center" wrapText="1"/>
    </xf>
    <xf numFmtId="166" fontId="2" fillId="0" borderId="35" xfId="0" applyNumberFormat="1" applyFont="1" applyBorder="1" applyAlignment="1">
      <alignment horizontal="center" vertical="center" wrapText="1"/>
    </xf>
    <xf numFmtId="166" fontId="2" fillId="0" borderId="36" xfId="0" applyNumberFormat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3" fontId="2" fillId="0" borderId="40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0" fontId="4" fillId="0" borderId="40" xfId="0" applyFont="1" applyBorder="1" applyAlignment="1">
      <alignment vertical="center" wrapText="1"/>
    </xf>
    <xf numFmtId="43" fontId="4" fillId="0" borderId="41" xfId="0" applyNumberFormat="1" applyFont="1" applyBorder="1" applyAlignment="1">
      <alignment horizontal="center" wrapText="1"/>
    </xf>
    <xf numFmtId="43" fontId="4" fillId="0" borderId="40" xfId="0" applyNumberFormat="1" applyFont="1" applyBorder="1" applyAlignment="1">
      <alignment horizontal="center" vertical="center" wrapText="1"/>
    </xf>
    <xf numFmtId="2" fontId="4" fillId="0" borderId="41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wrapText="1"/>
    </xf>
    <xf numFmtId="0" fontId="4" fillId="11" borderId="40" xfId="0" applyFont="1" applyFill="1" applyBorder="1" applyAlignment="1">
      <alignment vertical="center" wrapText="1"/>
    </xf>
    <xf numFmtId="0" fontId="4" fillId="11" borderId="41" xfId="0" applyFont="1" applyFill="1" applyBorder="1" applyAlignment="1">
      <alignment horizontal="center" wrapText="1"/>
    </xf>
    <xf numFmtId="4" fontId="2" fillId="0" borderId="40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70" fontId="4" fillId="0" borderId="41" xfId="0" applyNumberFormat="1" applyFont="1" applyBorder="1" applyAlignment="1">
      <alignment horizontal="center" vertical="center" wrapText="1"/>
    </xf>
    <xf numFmtId="170" fontId="4" fillId="0" borderId="0" xfId="0" applyNumberFormat="1" applyFont="1" applyAlignment="1">
      <alignment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166" fontId="2" fillId="3" borderId="4" xfId="0" applyNumberFormat="1" applyFont="1" applyFill="1" applyBorder="1" applyAlignment="1">
      <alignment horizontal="center" vertical="center" wrapText="1"/>
    </xf>
    <xf numFmtId="166" fontId="4" fillId="0" borderId="41" xfId="0" applyNumberFormat="1" applyFont="1" applyBorder="1" applyAlignment="1">
      <alignment horizontal="center" wrapText="1"/>
    </xf>
    <xf numFmtId="171" fontId="4" fillId="0" borderId="4" xfId="0" applyNumberFormat="1" applyFont="1" applyBorder="1" applyAlignment="1">
      <alignment horizontal="center" vertical="center" wrapText="1"/>
    </xf>
    <xf numFmtId="166" fontId="4" fillId="0" borderId="4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left" vertical="center" wrapText="1"/>
    </xf>
    <xf numFmtId="4" fontId="4" fillId="0" borderId="4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left" vertical="center" wrapText="1"/>
    </xf>
    <xf numFmtId="2" fontId="4" fillId="0" borderId="41" xfId="0" applyNumberFormat="1" applyFont="1" applyBorder="1" applyAlignment="1">
      <alignment horizontal="center" wrapText="1"/>
    </xf>
    <xf numFmtId="4" fontId="17" fillId="0" borderId="4" xfId="0" applyNumberFormat="1" applyFont="1" applyBorder="1" applyAlignment="1">
      <alignment horizontal="center" vertical="center" wrapText="1"/>
    </xf>
    <xf numFmtId="166" fontId="17" fillId="0" borderId="4" xfId="0" applyNumberFormat="1" applyFont="1" applyBorder="1" applyAlignment="1">
      <alignment horizontal="center" vertical="center" wrapText="1"/>
    </xf>
    <xf numFmtId="4" fontId="4" fillId="0" borderId="4" xfId="0" applyNumberFormat="1" applyFont="1" applyBorder="1" applyAlignment="1">
      <alignment horizontal="center" vertical="center" wrapText="1"/>
    </xf>
    <xf numFmtId="2" fontId="4" fillId="0" borderId="41" xfId="0" applyNumberFormat="1" applyFont="1" applyBorder="1" applyAlignment="1">
      <alignment horizontal="right" wrapText="1"/>
    </xf>
    <xf numFmtId="0" fontId="17" fillId="0" borderId="40" xfId="0" applyFont="1" applyBorder="1" applyAlignment="1">
      <alignment horizontal="center" vertical="center" wrapText="1"/>
    </xf>
    <xf numFmtId="166" fontId="18" fillId="0" borderId="4" xfId="0" applyNumberFormat="1" applyFont="1" applyBorder="1" applyAlignment="1">
      <alignment horizontal="center" vertical="center" wrapText="1"/>
    </xf>
    <xf numFmtId="3" fontId="19" fillId="0" borderId="40" xfId="0" applyNumberFormat="1" applyFont="1" applyBorder="1" applyAlignment="1">
      <alignment horizontal="center" vertical="center" wrapText="1"/>
    </xf>
    <xf numFmtId="4" fontId="19" fillId="0" borderId="4" xfId="0" applyNumberFormat="1" applyFont="1" applyBorder="1" applyAlignment="1">
      <alignment horizontal="center" vertical="center" wrapText="1"/>
    </xf>
    <xf numFmtId="166" fontId="19" fillId="0" borderId="4" xfId="0" applyNumberFormat="1" applyFont="1" applyBorder="1" applyAlignment="1">
      <alignment horizontal="center" vertical="center" wrapText="1"/>
    </xf>
    <xf numFmtId="166" fontId="19" fillId="0" borderId="1" xfId="0" applyNumberFormat="1" applyFont="1" applyBorder="1" applyAlignment="1">
      <alignment horizontal="left" vertical="center" wrapText="1"/>
    </xf>
    <xf numFmtId="4" fontId="20" fillId="0" borderId="4" xfId="0" applyNumberFormat="1" applyFont="1" applyBorder="1" applyAlignment="1">
      <alignment horizontal="center" vertical="center" wrapText="1"/>
    </xf>
    <xf numFmtId="166" fontId="20" fillId="0" borderId="4" xfId="0" applyNumberFormat="1" applyFont="1" applyBorder="1" applyAlignment="1">
      <alignment horizontal="center" vertical="center" wrapText="1"/>
    </xf>
    <xf numFmtId="171" fontId="20" fillId="0" borderId="4" xfId="0" applyNumberFormat="1" applyFont="1" applyBorder="1" applyAlignment="1">
      <alignment horizontal="center" vertical="center" wrapText="1"/>
    </xf>
    <xf numFmtId="166" fontId="20" fillId="0" borderId="1" xfId="0" applyNumberFormat="1" applyFont="1" applyBorder="1" applyAlignment="1">
      <alignment horizontal="left" vertical="center" wrapText="1"/>
    </xf>
    <xf numFmtId="171" fontId="19" fillId="0" borderId="4" xfId="0" applyNumberFormat="1" applyFont="1" applyBorder="1" applyAlignment="1">
      <alignment horizontal="center" vertical="center" wrapText="1"/>
    </xf>
    <xf numFmtId="3" fontId="4" fillId="0" borderId="40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3" fontId="20" fillId="0" borderId="40" xfId="0" applyNumberFormat="1" applyFont="1" applyBorder="1" applyAlignment="1">
      <alignment horizontal="center" vertical="center" wrapText="1"/>
    </xf>
    <xf numFmtId="166" fontId="19" fillId="0" borderId="44" xfId="0" applyNumberFormat="1" applyFont="1" applyBorder="1" applyAlignment="1">
      <alignment horizontal="center" vertical="center" wrapText="1"/>
    </xf>
    <xf numFmtId="166" fontId="19" fillId="0" borderId="45" xfId="0" applyNumberFormat="1" applyFont="1" applyBorder="1" applyAlignment="1">
      <alignment horizontal="left" vertical="center" wrapText="1"/>
    </xf>
    <xf numFmtId="0" fontId="4" fillId="0" borderId="46" xfId="0" applyFont="1" applyBorder="1" applyAlignment="1">
      <alignment vertical="center" wrapText="1"/>
    </xf>
    <xf numFmtId="0" fontId="4" fillId="0" borderId="47" xfId="0" applyFont="1" applyBorder="1" applyAlignment="1">
      <alignment horizont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166" fontId="4" fillId="0" borderId="0" xfId="0" applyNumberFormat="1" applyFont="1" applyAlignment="1">
      <alignment vertical="center" wrapText="1"/>
    </xf>
    <xf numFmtId="43" fontId="4" fillId="0" borderId="0" xfId="0" applyNumberFormat="1" applyFont="1" applyAlignment="1">
      <alignment horizontal="center" wrapText="1"/>
    </xf>
    <xf numFmtId="0" fontId="21" fillId="3" borderId="4" xfId="0" applyFont="1" applyFill="1" applyBorder="1" applyAlignment="1">
      <alignment vertical="center"/>
    </xf>
    <xf numFmtId="0" fontId="14" fillId="0" borderId="0" xfId="0" applyFont="1"/>
    <xf numFmtId="0" fontId="14" fillId="2" borderId="38" xfId="0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/>
    </xf>
    <xf numFmtId="0" fontId="15" fillId="2" borderId="38" xfId="0" applyFont="1" applyFill="1" applyBorder="1" applyAlignment="1">
      <alignment horizontal="right" vertical="center"/>
    </xf>
    <xf numFmtId="164" fontId="15" fillId="2" borderId="39" xfId="0" applyNumberFormat="1" applyFont="1" applyFill="1" applyBorder="1" applyAlignment="1">
      <alignment horizontal="right" vertical="center"/>
    </xf>
    <xf numFmtId="0" fontId="15" fillId="2" borderId="60" xfId="0" applyFont="1" applyFill="1" applyBorder="1" applyAlignment="1">
      <alignment horizontal="center" vertical="center"/>
    </xf>
    <xf numFmtId="165" fontId="15" fillId="2" borderId="46" xfId="0" applyNumberFormat="1" applyFont="1" applyFill="1" applyBorder="1" applyAlignment="1">
      <alignment horizontal="center" vertical="center"/>
    </xf>
    <xf numFmtId="4" fontId="15" fillId="2" borderId="47" xfId="0" applyNumberFormat="1" applyFont="1" applyFill="1" applyBorder="1" applyAlignment="1">
      <alignment horizontal="right" vertical="center"/>
    </xf>
    <xf numFmtId="0" fontId="15" fillId="2" borderId="46" xfId="0" applyFont="1" applyFill="1" applyBorder="1" applyAlignment="1">
      <alignment horizontal="center" vertical="center"/>
    </xf>
    <xf numFmtId="0" fontId="15" fillId="2" borderId="44" xfId="0" applyFont="1" applyFill="1" applyBorder="1" applyAlignment="1">
      <alignment horizontal="center" vertical="center"/>
    </xf>
    <xf numFmtId="166" fontId="15" fillId="2" borderId="47" xfId="0" applyNumberFormat="1" applyFont="1" applyFill="1" applyBorder="1" applyAlignment="1">
      <alignment horizontal="center" vertical="center"/>
    </xf>
    <xf numFmtId="166" fontId="15" fillId="2" borderId="62" xfId="0" applyNumberFormat="1" applyFont="1" applyFill="1" applyBorder="1" applyAlignment="1">
      <alignment horizontal="center" vertical="center"/>
    </xf>
    <xf numFmtId="0" fontId="15" fillId="3" borderId="63" xfId="0" applyFont="1" applyFill="1" applyBorder="1" applyAlignment="1">
      <alignment horizontal="center" vertical="center"/>
    </xf>
    <xf numFmtId="0" fontId="15" fillId="3" borderId="64" xfId="0" applyFont="1" applyFill="1" applyBorder="1" applyAlignment="1">
      <alignment horizontal="center" vertical="center"/>
    </xf>
    <xf numFmtId="165" fontId="15" fillId="3" borderId="63" xfId="0" applyNumberFormat="1" applyFont="1" applyFill="1" applyBorder="1" applyAlignment="1">
      <alignment horizontal="center" vertical="center"/>
    </xf>
    <xf numFmtId="4" fontId="15" fillId="3" borderId="65" xfId="0" applyNumberFormat="1" applyFont="1" applyFill="1" applyBorder="1" applyAlignment="1">
      <alignment horizontal="right" vertical="center"/>
    </xf>
    <xf numFmtId="0" fontId="15" fillId="0" borderId="34" xfId="0" applyFont="1" applyBorder="1" applyAlignment="1">
      <alignment vertical="center" wrapText="1"/>
    </xf>
    <xf numFmtId="0" fontId="15" fillId="0" borderId="35" xfId="0" applyFont="1" applyBorder="1" applyAlignment="1">
      <alignment vertical="center" wrapText="1"/>
    </xf>
    <xf numFmtId="9" fontId="15" fillId="0" borderId="37" xfId="0" applyNumberFormat="1" applyFont="1" applyBorder="1" applyAlignment="1">
      <alignment vertical="center"/>
    </xf>
    <xf numFmtId="9" fontId="15" fillId="0" borderId="66" xfId="0" applyNumberFormat="1" applyFont="1" applyBorder="1" applyAlignment="1">
      <alignment vertical="center"/>
    </xf>
    <xf numFmtId="0" fontId="14" fillId="3" borderId="67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vertical="center"/>
    </xf>
    <xf numFmtId="166" fontId="14" fillId="3" borderId="40" xfId="0" applyNumberFormat="1" applyFont="1" applyFill="1" applyBorder="1" applyAlignment="1">
      <alignment vertical="center"/>
    </xf>
    <xf numFmtId="169" fontId="14" fillId="3" borderId="41" xfId="0" applyNumberFormat="1" applyFont="1" applyFill="1" applyBorder="1" applyAlignment="1">
      <alignment vertical="center"/>
    </xf>
    <xf numFmtId="0" fontId="14" fillId="0" borderId="40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43" fontId="14" fillId="0" borderId="41" xfId="0" applyNumberFormat="1" applyFont="1" applyBorder="1" applyAlignment="1">
      <alignment vertical="center"/>
    </xf>
    <xf numFmtId="43" fontId="14" fillId="0" borderId="68" xfId="0" applyNumberFormat="1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43" fontId="14" fillId="0" borderId="40" xfId="0" applyNumberFormat="1" applyFont="1" applyBorder="1" applyAlignment="1">
      <alignment vertical="center"/>
    </xf>
    <xf numFmtId="2" fontId="14" fillId="0" borderId="4" xfId="0" applyNumberFormat="1" applyFont="1" applyBorder="1" applyAlignment="1">
      <alignment vertical="center"/>
    </xf>
    <xf numFmtId="168" fontId="14" fillId="0" borderId="4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66" fontId="14" fillId="0" borderId="40" xfId="0" applyNumberFormat="1" applyFont="1" applyBorder="1" applyAlignment="1">
      <alignment vertical="center"/>
    </xf>
    <xf numFmtId="169" fontId="14" fillId="0" borderId="41" xfId="0" applyNumberFormat="1" applyFont="1" applyBorder="1" applyAlignment="1">
      <alignment vertical="center"/>
    </xf>
    <xf numFmtId="2" fontId="14" fillId="0" borderId="0" xfId="0" applyNumberFormat="1" applyFont="1" applyAlignment="1">
      <alignment vertical="center"/>
    </xf>
    <xf numFmtId="0" fontId="14" fillId="3" borderId="69" xfId="0" applyFont="1" applyFill="1" applyBorder="1" applyAlignment="1">
      <alignment horizontal="center" vertical="center"/>
    </xf>
    <xf numFmtId="0" fontId="23" fillId="0" borderId="18" xfId="0" applyFont="1" applyBorder="1" applyAlignment="1">
      <alignment vertical="center"/>
    </xf>
    <xf numFmtId="166" fontId="14" fillId="3" borderId="70" xfId="0" applyNumberFormat="1" applyFont="1" applyFill="1" applyBorder="1" applyAlignment="1">
      <alignment vertical="center"/>
    </xf>
    <xf numFmtId="169" fontId="14" fillId="3" borderId="71" xfId="0" applyNumberFormat="1" applyFont="1" applyFill="1" applyBorder="1" applyAlignment="1">
      <alignment vertical="center"/>
    </xf>
    <xf numFmtId="0" fontId="14" fillId="0" borderId="48" xfId="0" applyFont="1" applyBorder="1" applyAlignment="1">
      <alignment vertical="center"/>
    </xf>
    <xf numFmtId="0" fontId="14" fillId="0" borderId="72" xfId="0" applyFont="1" applyBorder="1" applyAlignment="1">
      <alignment vertical="center"/>
    </xf>
    <xf numFmtId="43" fontId="14" fillId="0" borderId="49" xfId="0" applyNumberFormat="1" applyFont="1" applyBorder="1" applyAlignment="1">
      <alignment vertical="center"/>
    </xf>
    <xf numFmtId="43" fontId="14" fillId="0" borderId="73" xfId="0" applyNumberFormat="1" applyFont="1" applyBorder="1" applyAlignment="1">
      <alignment vertical="center"/>
    </xf>
    <xf numFmtId="0" fontId="15" fillId="3" borderId="74" xfId="0" applyFont="1" applyFill="1" applyBorder="1" applyAlignment="1">
      <alignment horizontal="center" vertical="center"/>
    </xf>
    <xf numFmtId="0" fontId="15" fillId="3" borderId="75" xfId="0" applyFont="1" applyFill="1" applyBorder="1" applyAlignment="1">
      <alignment vertical="center"/>
    </xf>
    <xf numFmtId="166" fontId="15" fillId="3" borderId="76" xfId="0" applyNumberFormat="1" applyFont="1" applyFill="1" applyBorder="1" applyAlignment="1">
      <alignment vertical="center"/>
    </xf>
    <xf numFmtId="0" fontId="15" fillId="3" borderId="77" xfId="0" applyFont="1" applyFill="1" applyBorder="1" applyAlignment="1">
      <alignment vertical="center"/>
    </xf>
    <xf numFmtId="0" fontId="15" fillId="0" borderId="76" xfId="0" applyFont="1" applyBorder="1" applyAlignment="1">
      <alignment vertical="center"/>
    </xf>
    <xf numFmtId="0" fontId="15" fillId="0" borderId="78" xfId="0" applyFont="1" applyBorder="1" applyAlignment="1">
      <alignment vertical="center"/>
    </xf>
    <xf numFmtId="43" fontId="15" fillId="0" borderId="77" xfId="0" applyNumberFormat="1" applyFont="1" applyBorder="1" applyAlignment="1">
      <alignment vertical="center"/>
    </xf>
    <xf numFmtId="43" fontId="15" fillId="0" borderId="79" xfId="0" applyNumberFormat="1" applyFont="1" applyBorder="1" applyAlignment="1">
      <alignment vertical="center"/>
    </xf>
    <xf numFmtId="43" fontId="14" fillId="0" borderId="0" xfId="0" applyNumberFormat="1" applyFont="1" applyAlignment="1">
      <alignment vertical="center"/>
    </xf>
    <xf numFmtId="0" fontId="14" fillId="2" borderId="63" xfId="0" applyFont="1" applyFill="1" applyBorder="1" applyAlignment="1">
      <alignment horizontal="center" vertical="center"/>
    </xf>
    <xf numFmtId="0" fontId="14" fillId="2" borderId="80" xfId="0" applyFont="1" applyFill="1" applyBorder="1" applyAlignment="1">
      <alignment vertical="center"/>
    </xf>
    <xf numFmtId="164" fontId="14" fillId="2" borderId="63" xfId="0" applyNumberFormat="1" applyFont="1" applyFill="1" applyBorder="1" applyAlignment="1">
      <alignment vertical="center"/>
    </xf>
    <xf numFmtId="2" fontId="14" fillId="2" borderId="65" xfId="0" applyNumberFormat="1" applyFont="1" applyFill="1" applyBorder="1" applyAlignment="1">
      <alignment horizontal="center" vertical="center"/>
    </xf>
    <xf numFmtId="0" fontId="14" fillId="2" borderId="63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43" fontId="14" fillId="2" borderId="65" xfId="0" applyNumberFormat="1" applyFont="1" applyFill="1" applyBorder="1" applyAlignment="1">
      <alignment vertical="center"/>
    </xf>
    <xf numFmtId="43" fontId="14" fillId="2" borderId="81" xfId="0" applyNumberFormat="1" applyFont="1" applyFill="1" applyBorder="1" applyAlignment="1">
      <alignment vertical="center"/>
    </xf>
    <xf numFmtId="0" fontId="14" fillId="2" borderId="40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vertical="center"/>
    </xf>
    <xf numFmtId="164" fontId="14" fillId="2" borderId="40" xfId="0" applyNumberFormat="1" applyFont="1" applyFill="1" applyBorder="1" applyAlignment="1">
      <alignment vertical="center"/>
    </xf>
    <xf numFmtId="2" fontId="14" fillId="2" borderId="41" xfId="0" applyNumberFormat="1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vertical="center"/>
    </xf>
    <xf numFmtId="43" fontId="14" fillId="2" borderId="41" xfId="0" applyNumberFormat="1" applyFont="1" applyFill="1" applyBorder="1" applyAlignment="1">
      <alignment vertical="center"/>
    </xf>
    <xf numFmtId="43" fontId="14" fillId="2" borderId="82" xfId="0" applyNumberFormat="1" applyFont="1" applyFill="1" applyBorder="1" applyAlignment="1">
      <alignment vertical="center"/>
    </xf>
    <xf numFmtId="0" fontId="15" fillId="2" borderId="70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vertical="center"/>
    </xf>
    <xf numFmtId="164" fontId="15" fillId="2" borderId="70" xfId="0" applyNumberFormat="1" applyFont="1" applyFill="1" applyBorder="1" applyAlignment="1">
      <alignment vertical="center"/>
    </xf>
    <xf numFmtId="2" fontId="15" fillId="2" borderId="71" xfId="0" applyNumberFormat="1" applyFont="1" applyFill="1" applyBorder="1" applyAlignment="1">
      <alignment horizontal="center" vertical="center"/>
    </xf>
    <xf numFmtId="0" fontId="15" fillId="2" borderId="70" xfId="0" applyFont="1" applyFill="1" applyBorder="1" applyAlignment="1">
      <alignment vertical="center"/>
    </xf>
    <xf numFmtId="0" fontId="15" fillId="2" borderId="83" xfId="0" applyFont="1" applyFill="1" applyBorder="1" applyAlignment="1">
      <alignment vertical="center"/>
    </xf>
    <xf numFmtId="164" fontId="15" fillId="2" borderId="71" xfId="0" applyNumberFormat="1" applyFont="1" applyFill="1" applyBorder="1" applyAlignment="1">
      <alignment vertical="center"/>
    </xf>
    <xf numFmtId="164" fontId="15" fillId="2" borderId="84" xfId="0" applyNumberFormat="1" applyFont="1" applyFill="1" applyBorder="1" applyAlignment="1">
      <alignment vertical="center"/>
    </xf>
    <xf numFmtId="0" fontId="15" fillId="2" borderId="76" xfId="0" applyFont="1" applyFill="1" applyBorder="1" applyAlignment="1">
      <alignment horizontal="center" vertical="center"/>
    </xf>
    <xf numFmtId="0" fontId="15" fillId="2" borderId="75" xfId="0" applyFont="1" applyFill="1" applyBorder="1" applyAlignment="1">
      <alignment vertical="center" wrapText="1"/>
    </xf>
    <xf numFmtId="167" fontId="15" fillId="2" borderId="76" xfId="0" applyNumberFormat="1" applyFont="1" applyFill="1" applyBorder="1" applyAlignment="1">
      <alignment vertical="center"/>
    </xf>
    <xf numFmtId="2" fontId="15" fillId="2" borderId="77" xfId="0" applyNumberFormat="1" applyFont="1" applyFill="1" applyBorder="1" applyAlignment="1">
      <alignment horizontal="center" vertical="center"/>
    </xf>
    <xf numFmtId="0" fontId="14" fillId="2" borderId="76" xfId="0" applyFont="1" applyFill="1" applyBorder="1" applyAlignment="1">
      <alignment vertical="center"/>
    </xf>
    <xf numFmtId="0" fontId="14" fillId="2" borderId="78" xfId="0" applyFont="1" applyFill="1" applyBorder="1" applyAlignment="1">
      <alignment vertical="center"/>
    </xf>
    <xf numFmtId="43" fontId="15" fillId="2" borderId="77" xfId="0" applyNumberFormat="1" applyFont="1" applyFill="1" applyBorder="1" applyAlignment="1">
      <alignment vertical="center"/>
    </xf>
    <xf numFmtId="167" fontId="15" fillId="2" borderId="85" xfId="0" applyNumberFormat="1" applyFont="1" applyFill="1" applyBorder="1" applyAlignment="1">
      <alignment vertical="center"/>
    </xf>
    <xf numFmtId="0" fontId="14" fillId="0" borderId="86" xfId="0" applyFont="1" applyBorder="1" applyAlignment="1">
      <alignment horizontal="center" vertical="center"/>
    </xf>
    <xf numFmtId="0" fontId="14" fillId="0" borderId="87" xfId="0" applyFont="1" applyBorder="1" applyAlignment="1">
      <alignment vertical="center"/>
    </xf>
    <xf numFmtId="165" fontId="15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166" fontId="14" fillId="0" borderId="0" xfId="0" applyNumberFormat="1" applyFont="1" applyAlignment="1">
      <alignment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43" fontId="14" fillId="0" borderId="1" xfId="0" applyNumberFormat="1" applyFont="1" applyBorder="1" applyAlignment="1">
      <alignment horizontal="center" vertical="center"/>
    </xf>
    <xf numFmtId="10" fontId="14" fillId="0" borderId="4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43" fontId="14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vertical="center"/>
    </xf>
    <xf numFmtId="0" fontId="14" fillId="0" borderId="73" xfId="0" applyFont="1" applyBorder="1" applyAlignment="1">
      <alignment vertical="center"/>
    </xf>
    <xf numFmtId="0" fontId="15" fillId="3" borderId="88" xfId="0" applyFont="1" applyFill="1" applyBorder="1" applyAlignment="1">
      <alignment horizontal="center" vertical="center"/>
    </xf>
    <xf numFmtId="0" fontId="15" fillId="3" borderId="89" xfId="0" applyFont="1" applyFill="1" applyBorder="1" applyAlignment="1">
      <alignment vertical="center"/>
    </xf>
    <xf numFmtId="166" fontId="15" fillId="3" borderId="90" xfId="0" applyNumberFormat="1" applyFont="1" applyFill="1" applyBorder="1" applyAlignment="1">
      <alignment vertical="center"/>
    </xf>
    <xf numFmtId="0" fontId="15" fillId="3" borderId="91" xfId="0" applyFont="1" applyFill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5" fillId="0" borderId="92" xfId="0" applyFont="1" applyBorder="1" applyAlignment="1">
      <alignment vertical="center"/>
    </xf>
    <xf numFmtId="43" fontId="15" fillId="0" borderId="25" xfId="0" applyNumberFormat="1" applyFont="1" applyBorder="1" applyAlignment="1">
      <alignment vertical="center"/>
    </xf>
    <xf numFmtId="43" fontId="15" fillId="0" borderId="93" xfId="0" applyNumberFormat="1" applyFont="1" applyBorder="1" applyAlignment="1">
      <alignment vertical="center"/>
    </xf>
    <xf numFmtId="0" fontId="14" fillId="2" borderId="58" xfId="0" applyFont="1" applyFill="1" applyBorder="1" applyAlignment="1">
      <alignment vertical="center"/>
    </xf>
    <xf numFmtId="164" fontId="14" fillId="2" borderId="38" xfId="0" applyNumberFormat="1" applyFont="1" applyFill="1" applyBorder="1" applyAlignment="1">
      <alignment vertical="center"/>
    </xf>
    <xf numFmtId="2" fontId="14" fillId="2" borderId="39" xfId="0" applyNumberFormat="1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vertical="center" wrapText="1"/>
    </xf>
    <xf numFmtId="0" fontId="14" fillId="2" borderId="94" xfId="0" applyFont="1" applyFill="1" applyBorder="1" applyAlignment="1">
      <alignment vertical="center" wrapText="1"/>
    </xf>
    <xf numFmtId="43" fontId="14" fillId="2" borderId="39" xfId="0" applyNumberFormat="1" applyFont="1" applyFill="1" applyBorder="1" applyAlignment="1">
      <alignment vertical="center"/>
    </xf>
    <xf numFmtId="43" fontId="14" fillId="2" borderId="60" xfId="0" applyNumberFormat="1" applyFont="1" applyFill="1" applyBorder="1" applyAlignment="1">
      <alignment vertical="center"/>
    </xf>
    <xf numFmtId="0" fontId="15" fillId="2" borderId="95" xfId="0" applyFont="1" applyFill="1" applyBorder="1" applyAlignment="1">
      <alignment vertical="center"/>
    </xf>
    <xf numFmtId="164" fontId="15" fillId="2" borderId="46" xfId="0" applyNumberFormat="1" applyFont="1" applyFill="1" applyBorder="1" applyAlignment="1">
      <alignment vertical="center"/>
    </xf>
    <xf numFmtId="2" fontId="15" fillId="2" borderId="47" xfId="0" applyNumberFormat="1" applyFont="1" applyFill="1" applyBorder="1" applyAlignment="1">
      <alignment horizontal="center" vertical="center"/>
    </xf>
    <xf numFmtId="0" fontId="15" fillId="2" borderId="46" xfId="0" applyFont="1" applyFill="1" applyBorder="1" applyAlignment="1">
      <alignment vertical="center"/>
    </xf>
    <xf numFmtId="0" fontId="15" fillId="2" borderId="44" xfId="0" applyFont="1" applyFill="1" applyBorder="1" applyAlignment="1">
      <alignment vertical="center"/>
    </xf>
    <xf numFmtId="164" fontId="15" fillId="2" borderId="47" xfId="0" applyNumberFormat="1" applyFont="1" applyFill="1" applyBorder="1" applyAlignment="1">
      <alignment vertical="center"/>
    </xf>
    <xf numFmtId="164" fontId="15" fillId="2" borderId="62" xfId="0" applyNumberFormat="1" applyFont="1" applyFill="1" applyBorder="1" applyAlignment="1">
      <alignment vertical="center"/>
    </xf>
    <xf numFmtId="0" fontId="15" fillId="2" borderId="96" xfId="0" applyFont="1" applyFill="1" applyBorder="1" applyAlignment="1">
      <alignment horizontal="center" vertical="center"/>
    </xf>
    <xf numFmtId="0" fontId="15" fillId="2" borderId="97" xfId="0" applyFont="1" applyFill="1" applyBorder="1" applyAlignment="1">
      <alignment vertical="center" wrapText="1"/>
    </xf>
    <xf numFmtId="167" fontId="15" fillId="2" borderId="96" xfId="0" applyNumberFormat="1" applyFont="1" applyFill="1" applyBorder="1" applyAlignment="1">
      <alignment vertical="center"/>
    </xf>
    <xf numFmtId="2" fontId="15" fillId="2" borderId="98" xfId="0" applyNumberFormat="1" applyFont="1" applyFill="1" applyBorder="1" applyAlignment="1">
      <alignment horizontal="center" vertical="center"/>
    </xf>
    <xf numFmtId="0" fontId="14" fillId="2" borderId="96" xfId="0" applyFont="1" applyFill="1" applyBorder="1" applyAlignment="1">
      <alignment vertical="center"/>
    </xf>
    <xf numFmtId="0" fontId="14" fillId="2" borderId="99" xfId="0" applyFont="1" applyFill="1" applyBorder="1" applyAlignment="1">
      <alignment vertical="center"/>
    </xf>
    <xf numFmtId="43" fontId="15" fillId="2" borderId="98" xfId="0" applyNumberFormat="1" applyFont="1" applyFill="1" applyBorder="1" applyAlignment="1">
      <alignment vertical="center"/>
    </xf>
    <xf numFmtId="167" fontId="15" fillId="2" borderId="100" xfId="0" applyNumberFormat="1" applyFont="1" applyFill="1" applyBorder="1" applyAlignment="1">
      <alignment vertical="center"/>
    </xf>
    <xf numFmtId="167" fontId="15" fillId="2" borderId="98" xfId="0" applyNumberFormat="1" applyFont="1" applyFill="1" applyBorder="1" applyAlignment="1">
      <alignment vertical="center"/>
    </xf>
    <xf numFmtId="0" fontId="14" fillId="0" borderId="0" xfId="0" applyFont="1" applyAlignment="1">
      <alignment wrapText="1"/>
    </xf>
    <xf numFmtId="0" fontId="15" fillId="3" borderId="38" xfId="0" applyFont="1" applyFill="1" applyBorder="1" applyAlignment="1">
      <alignment horizontal="center" vertical="center"/>
    </xf>
    <xf numFmtId="0" fontId="15" fillId="3" borderId="91" xfId="0" applyFont="1" applyFill="1" applyBorder="1" applyAlignment="1">
      <alignment horizontal="center" vertical="center"/>
    </xf>
    <xf numFmtId="165" fontId="15" fillId="3" borderId="101" xfId="0" applyNumberFormat="1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vertical="center"/>
    </xf>
    <xf numFmtId="166" fontId="14" fillId="3" borderId="14" xfId="0" applyNumberFormat="1" applyFont="1" applyFill="1" applyBorder="1" applyAlignment="1">
      <alignment vertical="center"/>
    </xf>
    <xf numFmtId="0" fontId="26" fillId="0" borderId="41" xfId="0" applyFont="1" applyBorder="1" applyAlignment="1">
      <alignment vertical="center"/>
    </xf>
    <xf numFmtId="0" fontId="14" fillId="0" borderId="41" xfId="0" applyFont="1" applyBorder="1" applyAlignment="1">
      <alignment vertical="center"/>
    </xf>
    <xf numFmtId="166" fontId="14" fillId="0" borderId="3" xfId="0" applyNumberFormat="1" applyFont="1" applyBorder="1" applyAlignment="1">
      <alignment vertical="center"/>
    </xf>
    <xf numFmtId="0" fontId="27" fillId="3" borderId="41" xfId="0" applyFont="1" applyFill="1" applyBorder="1" applyAlignment="1">
      <alignment vertical="center"/>
    </xf>
    <xf numFmtId="0" fontId="14" fillId="3" borderId="102" xfId="0" applyFont="1" applyFill="1" applyBorder="1" applyAlignment="1">
      <alignment horizontal="center" vertical="center"/>
    </xf>
    <xf numFmtId="0" fontId="14" fillId="0" borderId="47" xfId="0" applyFont="1" applyBorder="1" applyAlignment="1">
      <alignment vertical="center"/>
    </xf>
    <xf numFmtId="166" fontId="14" fillId="3" borderId="11" xfId="0" applyNumberFormat="1" applyFont="1" applyFill="1" applyBorder="1" applyAlignment="1">
      <alignment vertical="center"/>
    </xf>
    <xf numFmtId="43" fontId="14" fillId="0" borderId="0" xfId="0" applyNumberFormat="1" applyFont="1" applyAlignment="1">
      <alignment vertical="center" wrapText="1"/>
    </xf>
    <xf numFmtId="43" fontId="14" fillId="0" borderId="4" xfId="0" applyNumberFormat="1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43" fontId="15" fillId="0" borderId="4" xfId="0" applyNumberFormat="1" applyFont="1" applyBorder="1" applyAlignment="1">
      <alignment vertical="center"/>
    </xf>
    <xf numFmtId="0" fontId="15" fillId="3" borderId="10" xfId="0" applyFont="1" applyFill="1" applyBorder="1" applyAlignment="1">
      <alignment vertical="center"/>
    </xf>
    <xf numFmtId="0" fontId="15" fillId="3" borderId="89" xfId="0" applyFont="1" applyFill="1" applyBorder="1" applyAlignment="1">
      <alignment horizontal="center" vertical="center"/>
    </xf>
    <xf numFmtId="165" fontId="15" fillId="3" borderId="38" xfId="0" applyNumberFormat="1" applyFont="1" applyFill="1" applyBorder="1" applyAlignment="1">
      <alignment horizontal="center" vertical="center"/>
    </xf>
    <xf numFmtId="4" fontId="15" fillId="3" borderId="39" xfId="0" applyNumberFormat="1" applyFont="1" applyFill="1" applyBorder="1" applyAlignment="1">
      <alignment horizontal="right" vertical="center"/>
    </xf>
    <xf numFmtId="0" fontId="14" fillId="0" borderId="45" xfId="0" applyFont="1" applyBorder="1" applyAlignment="1">
      <alignment vertical="center"/>
    </xf>
    <xf numFmtId="166" fontId="14" fillId="3" borderId="46" xfId="0" applyNumberFormat="1" applyFont="1" applyFill="1" applyBorder="1" applyAlignment="1">
      <alignment vertical="center"/>
    </xf>
    <xf numFmtId="169" fontId="14" fillId="3" borderId="47" xfId="0" applyNumberFormat="1" applyFont="1" applyFill="1" applyBorder="1" applyAlignment="1">
      <alignment vertical="center"/>
    </xf>
    <xf numFmtId="0" fontId="4" fillId="0" borderId="41" xfId="0" applyFont="1" applyBorder="1" applyAlignment="1">
      <alignment horizontal="right" wrapText="1"/>
    </xf>
    <xf numFmtId="43" fontId="4" fillId="0" borderId="41" xfId="0" applyNumberFormat="1" applyFont="1" applyBorder="1" applyAlignment="1">
      <alignment horizontal="right" wrapText="1"/>
    </xf>
    <xf numFmtId="4" fontId="4" fillId="0" borderId="4" xfId="0" applyNumberFormat="1" applyFont="1" applyBorder="1"/>
    <xf numFmtId="0" fontId="14" fillId="8" borderId="4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vertical="center"/>
    </xf>
    <xf numFmtId="43" fontId="14" fillId="8" borderId="4" xfId="0" applyNumberFormat="1" applyFont="1" applyFill="1" applyBorder="1" applyAlignment="1">
      <alignment vertical="center"/>
    </xf>
    <xf numFmtId="0" fontId="14" fillId="8" borderId="5" xfId="0" applyFont="1" applyFill="1" applyBorder="1" applyAlignment="1">
      <alignment vertical="center"/>
    </xf>
    <xf numFmtId="43" fontId="15" fillId="8" borderId="4" xfId="0" applyNumberFormat="1" applyFont="1" applyFill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14" fontId="14" fillId="0" borderId="0" xfId="0" applyNumberFormat="1" applyFont="1" applyAlignment="1">
      <alignment vertical="center"/>
    </xf>
    <xf numFmtId="3" fontId="14" fillId="0" borderId="0" xfId="0" applyNumberFormat="1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172" fontId="8" fillId="0" borderId="0" xfId="0" applyNumberFormat="1" applyFont="1" applyAlignment="1">
      <alignment horizontal="right"/>
    </xf>
    <xf numFmtId="43" fontId="8" fillId="0" borderId="0" xfId="0" applyNumberFormat="1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3" fontId="15" fillId="0" borderId="0" xfId="0" applyNumberFormat="1" applyFont="1" applyAlignment="1">
      <alignment vertical="center"/>
    </xf>
    <xf numFmtId="4" fontId="14" fillId="0" borderId="4" xfId="0" applyNumberFormat="1" applyFont="1" applyBorder="1" applyAlignment="1">
      <alignment vertical="center"/>
    </xf>
    <xf numFmtId="4" fontId="14" fillId="0" borderId="0" xfId="0" applyNumberFormat="1" applyFont="1" applyAlignment="1">
      <alignment vertical="center"/>
    </xf>
    <xf numFmtId="4" fontId="14" fillId="8" borderId="4" xfId="0" applyNumberFormat="1" applyFont="1" applyFill="1" applyBorder="1" applyAlignment="1">
      <alignment vertical="center"/>
    </xf>
    <xf numFmtId="2" fontId="14" fillId="8" borderId="4" xfId="0" applyNumberFormat="1" applyFont="1" applyFill="1" applyBorder="1" applyAlignment="1">
      <alignment vertical="center"/>
    </xf>
    <xf numFmtId="43" fontId="14" fillId="0" borderId="4" xfId="0" applyNumberFormat="1" applyFont="1" applyBorder="1" applyAlignment="1">
      <alignment horizontal="right" vertical="center"/>
    </xf>
    <xf numFmtId="2" fontId="15" fillId="0" borderId="0" xfId="0" applyNumberFormat="1" applyFont="1" applyAlignment="1">
      <alignment vertical="center"/>
    </xf>
    <xf numFmtId="0" fontId="8" fillId="0" borderId="4" xfId="0" applyFont="1" applyBorder="1"/>
    <xf numFmtId="4" fontId="8" fillId="0" borderId="4" xfId="0" applyNumberFormat="1" applyFont="1" applyBorder="1"/>
    <xf numFmtId="4" fontId="6" fillId="0" borderId="0" xfId="0" applyNumberFormat="1" applyFont="1"/>
    <xf numFmtId="4" fontId="15" fillId="0" borderId="4" xfId="0" applyNumberFormat="1" applyFont="1" applyBorder="1" applyAlignment="1">
      <alignment vertical="center"/>
    </xf>
    <xf numFmtId="166" fontId="14" fillId="13" borderId="40" xfId="0" applyNumberFormat="1" applyFont="1" applyFill="1" applyBorder="1" applyAlignment="1">
      <alignment vertical="center"/>
    </xf>
    <xf numFmtId="43" fontId="14" fillId="13" borderId="4" xfId="0" applyNumberFormat="1" applyFont="1" applyFill="1" applyBorder="1" applyAlignment="1">
      <alignment vertical="center"/>
    </xf>
    <xf numFmtId="4" fontId="14" fillId="13" borderId="4" xfId="0" applyNumberFormat="1" applyFont="1" applyFill="1" applyBorder="1" applyAlignment="1">
      <alignment vertical="center"/>
    </xf>
    <xf numFmtId="0" fontId="14" fillId="13" borderId="4" xfId="0" applyFont="1" applyFill="1" applyBorder="1" applyAlignment="1">
      <alignment vertical="center"/>
    </xf>
    <xf numFmtId="0" fontId="14" fillId="8" borderId="0" xfId="0" applyFont="1" applyFill="1" applyAlignment="1">
      <alignment vertical="center"/>
    </xf>
    <xf numFmtId="0" fontId="7" fillId="8" borderId="0" xfId="0" applyFont="1" applyFill="1"/>
    <xf numFmtId="4" fontId="6" fillId="8" borderId="0" xfId="0" applyNumberFormat="1" applyFont="1" applyFill="1"/>
    <xf numFmtId="0" fontId="14" fillId="8" borderId="0" xfId="0" applyFont="1" applyFill="1"/>
    <xf numFmtId="166" fontId="14" fillId="14" borderId="40" xfId="0" applyNumberFormat="1" applyFont="1" applyFill="1" applyBorder="1" applyAlignment="1">
      <alignment vertical="center"/>
    </xf>
    <xf numFmtId="166" fontId="14" fillId="14" borderId="46" xfId="0" applyNumberFormat="1" applyFont="1" applyFill="1" applyBorder="1" applyAlignment="1">
      <alignment vertical="center"/>
    </xf>
    <xf numFmtId="43" fontId="14" fillId="14" borderId="4" xfId="0" applyNumberFormat="1" applyFont="1" applyFill="1" applyBorder="1" applyAlignment="1">
      <alignment vertical="center"/>
    </xf>
    <xf numFmtId="0" fontId="14" fillId="14" borderId="4" xfId="0" applyFont="1" applyFill="1" applyBorder="1" applyAlignment="1">
      <alignment vertical="center"/>
    </xf>
    <xf numFmtId="3" fontId="14" fillId="14" borderId="4" xfId="0" applyNumberFormat="1" applyFont="1" applyFill="1" applyBorder="1" applyAlignment="1">
      <alignment vertical="center"/>
    </xf>
    <xf numFmtId="43" fontId="14" fillId="0" borderId="0" xfId="0" applyNumberFormat="1" applyFont="1" applyAlignment="1">
      <alignment horizontal="left" vertical="center"/>
    </xf>
    <xf numFmtId="3" fontId="14" fillId="0" borderId="4" xfId="0" applyNumberFormat="1" applyFont="1" applyBorder="1" applyAlignment="1">
      <alignment vertical="center"/>
    </xf>
    <xf numFmtId="166" fontId="14" fillId="0" borderId="4" xfId="0" applyNumberFormat="1" applyFont="1" applyBorder="1" applyAlignment="1">
      <alignment horizontal="right" vertical="center"/>
    </xf>
    <xf numFmtId="168" fontId="14" fillId="0" borderId="0" xfId="0" applyNumberFormat="1" applyFont="1" applyAlignment="1">
      <alignment vertical="center"/>
    </xf>
    <xf numFmtId="43" fontId="14" fillId="8" borderId="0" xfId="0" applyNumberFormat="1" applyFont="1" applyFill="1" applyAlignment="1">
      <alignment vertical="center"/>
    </xf>
    <xf numFmtId="3" fontId="14" fillId="8" borderId="0" xfId="0" applyNumberFormat="1" applyFont="1" applyFill="1" applyAlignment="1">
      <alignment vertical="center"/>
    </xf>
    <xf numFmtId="14" fontId="14" fillId="8" borderId="0" xfId="0" applyNumberFormat="1" applyFont="1" applyFill="1" applyAlignment="1">
      <alignment vertical="center"/>
    </xf>
    <xf numFmtId="3" fontId="14" fillId="8" borderId="4" xfId="0" applyNumberFormat="1" applyFont="1" applyFill="1" applyBorder="1" applyAlignment="1">
      <alignment vertical="center"/>
    </xf>
    <xf numFmtId="4" fontId="14" fillId="8" borderId="0" xfId="0" applyNumberFormat="1" applyFont="1" applyFill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right" vertical="center"/>
    </xf>
    <xf numFmtId="0" fontId="2" fillId="9" borderId="21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23" xfId="0" applyFont="1" applyBorder="1"/>
    <xf numFmtId="0" fontId="2" fillId="9" borderId="26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3" fillId="0" borderId="28" xfId="0" applyFont="1" applyBorder="1"/>
    <xf numFmtId="0" fontId="2" fillId="9" borderId="24" xfId="0" applyFont="1" applyFill="1" applyBorder="1" applyAlignment="1">
      <alignment horizontal="center" vertical="center" wrapText="1"/>
    </xf>
    <xf numFmtId="0" fontId="3" fillId="0" borderId="32" xfId="0" applyFont="1" applyBorder="1"/>
    <xf numFmtId="2" fontId="2" fillId="9" borderId="25" xfId="0" applyNumberFormat="1" applyFont="1" applyFill="1" applyBorder="1" applyAlignment="1">
      <alignment horizontal="center" vertical="center" wrapText="1"/>
    </xf>
    <xf numFmtId="0" fontId="3" fillId="0" borderId="33" xfId="0" applyFont="1" applyBorder="1"/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4" fontId="2" fillId="10" borderId="29" xfId="0" applyNumberFormat="1" applyFont="1" applyFill="1" applyBorder="1" applyAlignment="1">
      <alignment horizontal="center" vertical="center" wrapText="1"/>
    </xf>
    <xf numFmtId="0" fontId="3" fillId="0" borderId="30" xfId="0" applyFont="1" applyBorder="1"/>
    <xf numFmtId="0" fontId="3" fillId="0" borderId="31" xfId="0" applyFont="1" applyBorder="1"/>
    <xf numFmtId="4" fontId="2" fillId="11" borderId="42" xfId="0" applyNumberFormat="1" applyFont="1" applyFill="1" applyBorder="1" applyAlignment="1">
      <alignment horizontal="center" vertical="center" wrapText="1"/>
    </xf>
    <xf numFmtId="0" fontId="3" fillId="0" borderId="43" xfId="0" applyFont="1" applyBorder="1"/>
    <xf numFmtId="3" fontId="2" fillId="0" borderId="42" xfId="0" applyNumberFormat="1" applyFont="1" applyBorder="1" applyAlignment="1">
      <alignment horizontal="center" vertical="center" wrapText="1"/>
    </xf>
    <xf numFmtId="171" fontId="19" fillId="0" borderId="42" xfId="0" applyNumberFormat="1" applyFont="1" applyBorder="1" applyAlignment="1">
      <alignment horizontal="center" vertical="center" wrapText="1"/>
    </xf>
    <xf numFmtId="166" fontId="2" fillId="12" borderId="52" xfId="0" applyNumberFormat="1" applyFont="1" applyFill="1" applyBorder="1" applyAlignment="1">
      <alignment horizontal="center" vertical="center" wrapText="1"/>
    </xf>
    <xf numFmtId="0" fontId="3" fillId="0" borderId="56" xfId="0" applyFont="1" applyBorder="1"/>
    <xf numFmtId="166" fontId="2" fillId="0" borderId="53" xfId="0" applyNumberFormat="1" applyFont="1" applyBorder="1" applyAlignment="1">
      <alignment horizontal="left" vertical="center" wrapText="1"/>
    </xf>
    <xf numFmtId="0" fontId="3" fillId="0" borderId="57" xfId="0" applyFont="1" applyBorder="1"/>
    <xf numFmtId="0" fontId="2" fillId="0" borderId="53" xfId="0" applyFont="1" applyBorder="1" applyAlignment="1">
      <alignment horizontal="center" vertical="center" wrapText="1"/>
    </xf>
    <xf numFmtId="43" fontId="2" fillId="0" borderId="54" xfId="0" applyNumberFormat="1" applyFont="1" applyBorder="1" applyAlignment="1">
      <alignment horizontal="center" vertical="center" wrapText="1"/>
    </xf>
    <xf numFmtId="0" fontId="3" fillId="0" borderId="55" xfId="0" applyFont="1" applyBorder="1"/>
    <xf numFmtId="0" fontId="19" fillId="0" borderId="29" xfId="0" applyFont="1" applyBorder="1" applyAlignment="1">
      <alignment horizontal="center" vertical="center" wrapText="1"/>
    </xf>
    <xf numFmtId="3" fontId="2" fillId="0" borderId="50" xfId="0" applyNumberFormat="1" applyFont="1" applyBorder="1" applyAlignment="1">
      <alignment horizontal="center" vertical="center" wrapText="1"/>
    </xf>
    <xf numFmtId="3" fontId="2" fillId="12" borderId="51" xfId="0" applyNumberFormat="1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/>
    </xf>
    <xf numFmtId="0" fontId="3" fillId="0" borderId="59" xfId="0" applyFont="1" applyBorder="1"/>
    <xf numFmtId="0" fontId="15" fillId="2" borderId="29" xfId="0" applyFont="1" applyFill="1" applyBorder="1" applyAlignment="1">
      <alignment horizontal="right" vertical="center"/>
    </xf>
    <xf numFmtId="0" fontId="3" fillId="0" borderId="6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customschemas.google.com/relationships/workbookmetadata" Target="metadata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4.42578125" defaultRowHeight="15" customHeight="1" x14ac:dyDescent="0.25"/>
  <cols>
    <col min="1" max="1" width="10.7109375" customWidth="1"/>
    <col min="2" max="2" width="61.140625" customWidth="1"/>
    <col min="3" max="6" width="12.28515625" customWidth="1"/>
    <col min="7" max="7" width="14.140625" customWidth="1"/>
    <col min="8" max="8" width="12.28515625" customWidth="1"/>
    <col min="9" max="9" width="12.7109375" customWidth="1"/>
    <col min="10" max="10" width="12.28515625" customWidth="1"/>
    <col min="11" max="11" width="11" customWidth="1"/>
    <col min="12" max="13" width="12.28515625" customWidth="1"/>
    <col min="14" max="14" width="11" customWidth="1"/>
    <col min="15" max="16" width="12.28515625" customWidth="1"/>
    <col min="17" max="17" width="11" customWidth="1"/>
    <col min="18" max="19" width="12.28515625" customWidth="1"/>
    <col min="20" max="20" width="11" customWidth="1"/>
    <col min="21" max="21" width="12.28515625" customWidth="1"/>
    <col min="22" max="24" width="12.42578125" customWidth="1"/>
    <col min="25" max="25" width="12.28515625" customWidth="1"/>
    <col min="26" max="26" width="12" customWidth="1"/>
    <col min="27" max="27" width="12.28515625" customWidth="1"/>
    <col min="28" max="28" width="14" customWidth="1"/>
    <col min="29" max="29" width="15.140625" customWidth="1"/>
    <col min="30" max="32" width="12.28515625" customWidth="1"/>
    <col min="33" max="46" width="14.42578125" customWidth="1"/>
    <col min="65" max="65" width="12.42578125" customWidth="1"/>
  </cols>
  <sheetData>
    <row r="1" spans="1:78" ht="14.2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78" ht="14.2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78" ht="14.25" customHeight="1" x14ac:dyDescent="0.25">
      <c r="A3" s="373" t="s">
        <v>0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4"/>
      <c r="AJ3" s="374"/>
      <c r="AK3" s="374"/>
      <c r="AL3" s="374"/>
      <c r="AM3" s="374"/>
      <c r="AN3" s="374"/>
      <c r="AO3" s="374"/>
      <c r="AP3" s="375"/>
    </row>
    <row r="4" spans="1:78" ht="14.25" customHeight="1" x14ac:dyDescent="0.25">
      <c r="A4" s="3">
        <v>490749</v>
      </c>
      <c r="B4" s="4" t="s">
        <v>1</v>
      </c>
      <c r="C4" s="3">
        <v>490749</v>
      </c>
      <c r="D4" s="5"/>
      <c r="E4" s="5"/>
      <c r="F4" s="5"/>
      <c r="G4" s="5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</row>
    <row r="5" spans="1:78" ht="18.75" customHeight="1" x14ac:dyDescent="0.25">
      <c r="A5" s="8"/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376" t="s">
        <v>10</v>
      </c>
      <c r="K5" s="374"/>
      <c r="L5" s="375"/>
      <c r="M5" s="376" t="s">
        <v>11</v>
      </c>
      <c r="N5" s="374"/>
      <c r="O5" s="375"/>
      <c r="P5" s="376" t="s">
        <v>12</v>
      </c>
      <c r="Q5" s="374"/>
      <c r="R5" s="375"/>
      <c r="S5" s="376" t="s">
        <v>13</v>
      </c>
      <c r="T5" s="374"/>
      <c r="U5" s="375"/>
      <c r="V5" s="370" t="s">
        <v>14</v>
      </c>
      <c r="W5" s="371"/>
      <c r="X5" s="372"/>
      <c r="Y5" s="370" t="s">
        <v>15</v>
      </c>
      <c r="Z5" s="371"/>
      <c r="AA5" s="372"/>
      <c r="AB5" s="370" t="s">
        <v>16</v>
      </c>
      <c r="AC5" s="371"/>
      <c r="AD5" s="372"/>
      <c r="AE5" s="370" t="s">
        <v>17</v>
      </c>
      <c r="AF5" s="371"/>
      <c r="AG5" s="372"/>
      <c r="AH5" s="370" t="s">
        <v>18</v>
      </c>
      <c r="AI5" s="371"/>
      <c r="AJ5" s="372"/>
      <c r="AK5" s="370" t="s">
        <v>19</v>
      </c>
      <c r="AL5" s="371"/>
      <c r="AM5" s="372"/>
      <c r="AN5" s="370" t="s">
        <v>20</v>
      </c>
      <c r="AO5" s="371"/>
      <c r="AP5" s="372"/>
      <c r="AQ5" s="370" t="s">
        <v>21</v>
      </c>
      <c r="AR5" s="371"/>
      <c r="AS5" s="372"/>
      <c r="AT5" s="370" t="s">
        <v>22</v>
      </c>
      <c r="AU5" s="371"/>
      <c r="AV5" s="372"/>
      <c r="AW5" s="370" t="s">
        <v>23</v>
      </c>
      <c r="AX5" s="371"/>
      <c r="AY5" s="372"/>
      <c r="AZ5" s="370" t="s">
        <v>24</v>
      </c>
      <c r="BA5" s="371"/>
      <c r="BB5" s="372"/>
      <c r="BC5" s="370" t="s">
        <v>25</v>
      </c>
      <c r="BD5" s="371"/>
      <c r="BE5" s="372"/>
      <c r="BF5" s="370" t="s">
        <v>26</v>
      </c>
      <c r="BG5" s="371"/>
      <c r="BH5" s="372"/>
      <c r="BI5" s="370" t="s">
        <v>27</v>
      </c>
      <c r="BJ5" s="371"/>
      <c r="BK5" s="372"/>
      <c r="BL5" s="370" t="s">
        <v>28</v>
      </c>
      <c r="BM5" s="371"/>
      <c r="BN5" s="372"/>
      <c r="BO5" s="370" t="s">
        <v>29</v>
      </c>
      <c r="BP5" s="371"/>
      <c r="BQ5" s="372"/>
      <c r="BR5" s="370" t="s">
        <v>30</v>
      </c>
      <c r="BS5" s="371"/>
      <c r="BT5" s="372"/>
      <c r="BU5" s="370" t="s">
        <v>31</v>
      </c>
      <c r="BV5" s="371"/>
      <c r="BW5" s="372"/>
      <c r="BX5" s="370" t="s">
        <v>32</v>
      </c>
      <c r="BY5" s="371"/>
      <c r="BZ5" s="372"/>
    </row>
    <row r="6" spans="1:78" ht="16.5" customHeight="1" x14ac:dyDescent="0.25">
      <c r="A6" s="4" t="s">
        <v>33</v>
      </c>
      <c r="B6" s="4" t="s">
        <v>34</v>
      </c>
      <c r="C6" s="9"/>
      <c r="D6" s="9"/>
      <c r="E6" s="9"/>
      <c r="F6" s="9"/>
      <c r="G6" s="9"/>
      <c r="H6" s="9"/>
      <c r="I6" s="9"/>
      <c r="J6" s="9" t="s">
        <v>35</v>
      </c>
      <c r="K6" s="9" t="s">
        <v>36</v>
      </c>
      <c r="L6" s="9" t="s">
        <v>37</v>
      </c>
      <c r="M6" s="9" t="s">
        <v>35</v>
      </c>
      <c r="N6" s="9" t="s">
        <v>36</v>
      </c>
      <c r="O6" s="9" t="s">
        <v>37</v>
      </c>
      <c r="P6" s="9" t="s">
        <v>35</v>
      </c>
      <c r="Q6" s="9" t="s">
        <v>36</v>
      </c>
      <c r="R6" s="9" t="s">
        <v>37</v>
      </c>
      <c r="S6" s="9" t="s">
        <v>35</v>
      </c>
      <c r="T6" s="9" t="s">
        <v>36</v>
      </c>
      <c r="U6" s="9" t="s">
        <v>37</v>
      </c>
      <c r="V6" s="9" t="s">
        <v>35</v>
      </c>
      <c r="W6" s="10" t="s">
        <v>36</v>
      </c>
      <c r="X6" s="9" t="s">
        <v>37</v>
      </c>
      <c r="Y6" s="9" t="s">
        <v>35</v>
      </c>
      <c r="Z6" s="10" t="s">
        <v>36</v>
      </c>
      <c r="AA6" s="9" t="s">
        <v>37</v>
      </c>
      <c r="AB6" s="9" t="s">
        <v>35</v>
      </c>
      <c r="AC6" s="10" t="s">
        <v>36</v>
      </c>
      <c r="AD6" s="9" t="s">
        <v>37</v>
      </c>
      <c r="AE6" s="9" t="s">
        <v>35</v>
      </c>
      <c r="AF6" s="10" t="s">
        <v>36</v>
      </c>
      <c r="AG6" s="9" t="s">
        <v>37</v>
      </c>
      <c r="AH6" s="9" t="s">
        <v>35</v>
      </c>
      <c r="AI6" s="10" t="s">
        <v>36</v>
      </c>
      <c r="AJ6" s="9" t="s">
        <v>37</v>
      </c>
      <c r="AK6" s="9" t="s">
        <v>35</v>
      </c>
      <c r="AL6" s="10" t="s">
        <v>36</v>
      </c>
      <c r="AM6" s="9" t="s">
        <v>37</v>
      </c>
      <c r="AN6" s="9" t="s">
        <v>35</v>
      </c>
      <c r="AO6" s="10" t="s">
        <v>36</v>
      </c>
      <c r="AP6" s="9" t="s">
        <v>37</v>
      </c>
      <c r="AQ6" s="9" t="s">
        <v>35</v>
      </c>
      <c r="AR6" s="10" t="s">
        <v>36</v>
      </c>
      <c r="AS6" s="9" t="s">
        <v>37</v>
      </c>
      <c r="AT6" s="9" t="s">
        <v>35</v>
      </c>
      <c r="AU6" s="10" t="s">
        <v>36</v>
      </c>
      <c r="AV6" s="9" t="s">
        <v>37</v>
      </c>
      <c r="AW6" s="9" t="s">
        <v>35</v>
      </c>
      <c r="AX6" s="10" t="s">
        <v>36</v>
      </c>
      <c r="AY6" s="9" t="s">
        <v>37</v>
      </c>
      <c r="AZ6" s="9" t="s">
        <v>35</v>
      </c>
      <c r="BA6" s="10" t="s">
        <v>36</v>
      </c>
      <c r="BB6" s="9" t="s">
        <v>37</v>
      </c>
      <c r="BC6" s="9" t="s">
        <v>35</v>
      </c>
      <c r="BD6" s="10" t="s">
        <v>36</v>
      </c>
      <c r="BE6" s="9" t="s">
        <v>37</v>
      </c>
      <c r="BF6" s="9" t="s">
        <v>35</v>
      </c>
      <c r="BG6" s="10" t="s">
        <v>36</v>
      </c>
      <c r="BH6" s="9" t="s">
        <v>37</v>
      </c>
      <c r="BI6" s="9" t="s">
        <v>35</v>
      </c>
      <c r="BJ6" s="10" t="s">
        <v>36</v>
      </c>
      <c r="BK6" s="9" t="s">
        <v>37</v>
      </c>
      <c r="BL6" s="9" t="s">
        <v>35</v>
      </c>
      <c r="BM6" s="10" t="s">
        <v>36</v>
      </c>
      <c r="BN6" s="9" t="s">
        <v>37</v>
      </c>
      <c r="BO6" s="9" t="s">
        <v>35</v>
      </c>
      <c r="BP6" s="10" t="s">
        <v>36</v>
      </c>
      <c r="BQ6" s="9" t="s">
        <v>37</v>
      </c>
      <c r="BR6" s="9" t="s">
        <v>35</v>
      </c>
      <c r="BS6" s="10" t="s">
        <v>36</v>
      </c>
      <c r="BT6" s="9" t="s">
        <v>37</v>
      </c>
      <c r="BU6" s="9" t="s">
        <v>35</v>
      </c>
      <c r="BV6" s="10" t="s">
        <v>36</v>
      </c>
      <c r="BW6" s="9" t="s">
        <v>37</v>
      </c>
      <c r="BX6" s="9" t="s">
        <v>35</v>
      </c>
      <c r="BY6" s="10" t="s">
        <v>36</v>
      </c>
      <c r="BZ6" s="9" t="s">
        <v>37</v>
      </c>
    </row>
    <row r="7" spans="1:78" ht="16.5" customHeight="1" x14ac:dyDescent="0.25">
      <c r="A7" s="4"/>
      <c r="B7" s="11"/>
      <c r="C7" s="9"/>
      <c r="D7" s="9"/>
      <c r="E7" s="9"/>
      <c r="F7" s="9"/>
      <c r="G7" s="9"/>
      <c r="H7" s="9"/>
      <c r="I7" s="9"/>
      <c r="J7" s="12">
        <v>490749</v>
      </c>
      <c r="K7" s="13">
        <v>167554</v>
      </c>
      <c r="L7" s="14">
        <v>323195</v>
      </c>
      <c r="M7" s="12">
        <v>490749</v>
      </c>
      <c r="N7" s="13">
        <v>167554</v>
      </c>
      <c r="O7" s="14">
        <v>323195</v>
      </c>
      <c r="P7" s="12">
        <v>490749</v>
      </c>
      <c r="Q7" s="13">
        <v>167554</v>
      </c>
      <c r="R7" s="14">
        <v>323195</v>
      </c>
      <c r="S7" s="12">
        <v>490749</v>
      </c>
      <c r="T7" s="13">
        <v>167554</v>
      </c>
      <c r="U7" s="14">
        <v>323195</v>
      </c>
      <c r="V7" s="12">
        <v>490749</v>
      </c>
      <c r="W7" s="15">
        <v>167554</v>
      </c>
      <c r="X7" s="16">
        <v>323195</v>
      </c>
      <c r="Y7" s="12">
        <v>490749</v>
      </c>
      <c r="Z7" s="15">
        <v>167554</v>
      </c>
      <c r="AA7" s="16">
        <v>323195</v>
      </c>
      <c r="AB7" s="12">
        <v>490749</v>
      </c>
      <c r="AC7" s="15">
        <v>167554</v>
      </c>
      <c r="AD7" s="16">
        <v>323195</v>
      </c>
      <c r="AE7" s="12">
        <v>490749</v>
      </c>
      <c r="AF7" s="15">
        <v>167554</v>
      </c>
      <c r="AG7" s="16">
        <v>323195</v>
      </c>
      <c r="AH7" s="12">
        <v>490749</v>
      </c>
      <c r="AI7" s="15">
        <v>167554</v>
      </c>
      <c r="AJ7" s="16">
        <v>323195</v>
      </c>
      <c r="AK7" s="12">
        <v>490749</v>
      </c>
      <c r="AL7" s="15">
        <v>167554</v>
      </c>
      <c r="AM7" s="16">
        <v>323195</v>
      </c>
      <c r="AN7" s="12">
        <v>490749</v>
      </c>
      <c r="AO7" s="15">
        <v>167554</v>
      </c>
      <c r="AP7" s="16">
        <v>323195</v>
      </c>
      <c r="AQ7" s="12">
        <v>490749</v>
      </c>
      <c r="AR7" s="15">
        <v>167554</v>
      </c>
      <c r="AS7" s="16">
        <v>323195</v>
      </c>
      <c r="AT7" s="12">
        <v>490749</v>
      </c>
      <c r="AU7" s="15">
        <v>167554</v>
      </c>
      <c r="AV7" s="16">
        <v>323195</v>
      </c>
      <c r="AW7" s="12">
        <v>490749</v>
      </c>
      <c r="AX7" s="15">
        <v>167554</v>
      </c>
      <c r="AY7" s="16">
        <v>323195</v>
      </c>
      <c r="AZ7" s="12">
        <v>490749</v>
      </c>
      <c r="BA7" s="15">
        <v>167554</v>
      </c>
      <c r="BB7" s="16">
        <v>323195</v>
      </c>
      <c r="BC7" s="12">
        <v>490749</v>
      </c>
      <c r="BD7" s="15">
        <v>167554</v>
      </c>
      <c r="BE7" s="16">
        <v>323195</v>
      </c>
      <c r="BF7" s="12">
        <v>490749</v>
      </c>
      <c r="BG7" s="15">
        <v>167554</v>
      </c>
      <c r="BH7" s="16">
        <v>323195</v>
      </c>
      <c r="BI7" s="12">
        <v>490749</v>
      </c>
      <c r="BJ7" s="15">
        <v>167554</v>
      </c>
      <c r="BK7" s="16">
        <v>323195</v>
      </c>
      <c r="BL7" s="12">
        <v>490749</v>
      </c>
      <c r="BM7" s="15">
        <v>167554</v>
      </c>
      <c r="BN7" s="16">
        <v>323195</v>
      </c>
      <c r="BO7" s="12">
        <v>490749</v>
      </c>
      <c r="BP7" s="15">
        <v>167554</v>
      </c>
      <c r="BQ7" s="16">
        <v>323195</v>
      </c>
      <c r="BR7" s="12">
        <v>490749</v>
      </c>
      <c r="BS7" s="15">
        <v>167554</v>
      </c>
      <c r="BT7" s="16">
        <v>323195</v>
      </c>
      <c r="BU7" s="12">
        <v>490749</v>
      </c>
      <c r="BV7" s="15">
        <v>167554</v>
      </c>
      <c r="BW7" s="16">
        <v>323195</v>
      </c>
      <c r="BX7" s="12">
        <v>490749</v>
      </c>
      <c r="BY7" s="15">
        <v>167554</v>
      </c>
      <c r="BZ7" s="16">
        <v>323195</v>
      </c>
    </row>
    <row r="8" spans="1:78" ht="18" customHeight="1" x14ac:dyDescent="0.25">
      <c r="A8" s="17">
        <v>1</v>
      </c>
      <c r="B8" s="18" t="s">
        <v>38</v>
      </c>
      <c r="C8" s="19">
        <f>'CAM-Jun`23'!C6</f>
        <v>53038</v>
      </c>
      <c r="D8" s="20">
        <f>'CAM-Jul`23'!C6</f>
        <v>148967</v>
      </c>
      <c r="E8" s="20">
        <f>'CAM-Aug`23'!C6</f>
        <v>140000</v>
      </c>
      <c r="F8" s="20">
        <f>'CAM-Sep`23'!C6</f>
        <v>140000</v>
      </c>
      <c r="G8" s="20">
        <f>'CAM-Oct`23'!C6</f>
        <v>197561</v>
      </c>
      <c r="H8" s="20">
        <f>'CAM-Nov`23'!C6</f>
        <v>234758</v>
      </c>
      <c r="I8" s="20">
        <f>'CAM-Dec`23'!C6</f>
        <v>262200</v>
      </c>
      <c r="J8" s="20">
        <f>'CAM-Jan`24'!C5</f>
        <v>339700</v>
      </c>
      <c r="K8" s="20">
        <f>'CAM-Jan`24'!G5</f>
        <v>115982.08819579867</v>
      </c>
      <c r="L8" s="20">
        <f>'CAM-Jan`24'!H5</f>
        <v>223717.91180420134</v>
      </c>
      <c r="M8" s="20">
        <f>'CAM-Feb`24'!C5</f>
        <v>339700</v>
      </c>
      <c r="N8" s="20">
        <f>'CAM-Feb`24'!G5</f>
        <v>115982.08819579867</v>
      </c>
      <c r="O8" s="20">
        <f>'CAM-Feb`24'!H5</f>
        <v>223717.91180420134</v>
      </c>
      <c r="P8" s="20">
        <f>'CAM-Mar`24'!C6</f>
        <v>339700</v>
      </c>
      <c r="Q8" s="20">
        <f>'CAM-Mar`24'!G6</f>
        <v>115982.08819579867</v>
      </c>
      <c r="R8" s="20">
        <f>'CAM-Mar`24'!H6</f>
        <v>223717.91180420134</v>
      </c>
      <c r="S8" s="20">
        <f>'CAM-Apr`24'!C6</f>
        <v>383033</v>
      </c>
      <c r="T8" s="20">
        <f>'CAM-Apr`24'!G6</f>
        <v>130777.05972299486</v>
      </c>
      <c r="U8" s="20">
        <f>'CAM-Apr`24'!H6</f>
        <v>252255.94027700517</v>
      </c>
      <c r="V8" s="20">
        <f>'CAM-May`24'!C6</f>
        <v>389700</v>
      </c>
      <c r="W8" s="21">
        <f>'CAM-May`24'!G6</f>
        <v>133053.34050604282</v>
      </c>
      <c r="X8" s="20">
        <f>'CAM-May`24'!H6</f>
        <v>256646.65949395721</v>
      </c>
      <c r="Y8" s="20">
        <f>'CAM-Jun`24'!C6</f>
        <v>389700</v>
      </c>
      <c r="Z8" s="21">
        <f>'CAM-Jun`24'!G6</f>
        <v>133053.34050604282</v>
      </c>
      <c r="AA8" s="20">
        <f>'CAM-Jun`24'!H6</f>
        <v>256646.65949395721</v>
      </c>
      <c r="AB8" s="20">
        <f>'CAM-Jul`24'!C6</f>
        <v>389700</v>
      </c>
      <c r="AC8" s="20">
        <f>'CAM-Jul`24'!G6</f>
        <v>133053.34050604282</v>
      </c>
      <c r="AD8" s="20">
        <f>'CAM-Jul`24'!H6</f>
        <v>256646.65949395721</v>
      </c>
      <c r="AE8" s="20">
        <f>'CAM-Aug`24'!C6</f>
        <v>403700</v>
      </c>
      <c r="AF8" s="20">
        <f>'CAM-Aug`24'!G6</f>
        <v>137833.29115291114</v>
      </c>
      <c r="AG8" s="20">
        <f>'CAM-Aug`24'!H6</f>
        <v>265866.70884708886</v>
      </c>
      <c r="AH8" s="20">
        <f>'CAM-Sep`24'!C6</f>
        <v>403700</v>
      </c>
      <c r="AI8" s="20">
        <f>'CAM-Sep`24'!G6</f>
        <v>137833.29115291114</v>
      </c>
      <c r="AJ8" s="20">
        <f>'CAM-Sep`24'!H6</f>
        <v>265866.70884708886</v>
      </c>
      <c r="AK8" s="20">
        <f>'CAM-Oct`24'!C6</f>
        <v>403700</v>
      </c>
      <c r="AL8" s="20">
        <f>'CAM-Oct`24'!G6</f>
        <v>137833.29115291114</v>
      </c>
      <c r="AM8" s="20">
        <f>'CAM-Oct`24'!H6</f>
        <v>265866.70884708886</v>
      </c>
      <c r="AN8" s="20">
        <f>'CAM-Nov`24'!C6</f>
        <v>403700</v>
      </c>
      <c r="AO8" s="20">
        <f>'CAM-Nov`24'!G6</f>
        <v>137833.29115291114</v>
      </c>
      <c r="AP8" s="20">
        <f>'CAM-Nov`24'!H6</f>
        <v>265866.70884708886</v>
      </c>
      <c r="AQ8" s="20">
        <f>'CAM-Dec2024'!C6</f>
        <v>403700</v>
      </c>
      <c r="AR8" s="20">
        <f>'CAM-Dec2024'!G6</f>
        <v>137833.29115291114</v>
      </c>
      <c r="AS8" s="20">
        <f>'CAM-Dec2024'!H6</f>
        <v>265866.70884708886</v>
      </c>
      <c r="AT8" s="20">
        <f>'CAM-Jan2025'!C6</f>
        <v>403700</v>
      </c>
      <c r="AU8" s="20">
        <f>'CAM-Jan2025'!G6</f>
        <v>137833.29115291114</v>
      </c>
      <c r="AV8" s="20">
        <f>'CAM-Jan2025'!H6</f>
        <v>265866.70884708886</v>
      </c>
      <c r="AW8" s="20">
        <f>'CAM-Feb2025'!C6</f>
        <v>403377</v>
      </c>
      <c r="AX8" s="20">
        <f>'CAM-Feb2025'!G6</f>
        <v>137723.01086298699</v>
      </c>
      <c r="AY8" s="20">
        <f>'CAM-Feb2025'!H6</f>
        <v>265653.98913701298</v>
      </c>
      <c r="AZ8" s="20">
        <f>'CAM-Mar2025'!C6</f>
        <v>430000</v>
      </c>
      <c r="BA8" s="20">
        <f>'CAM-Mar2025'!G6</f>
        <v>146812.7698680996</v>
      </c>
      <c r="BB8" s="20">
        <f>'CAM-Mar2025'!H6</f>
        <v>283187.2301319004</v>
      </c>
      <c r="BC8" s="20">
        <f>'CAM-Apr2025'!C6</f>
        <v>430000</v>
      </c>
      <c r="BD8" s="20">
        <f>'CAM-Apr2025'!G6</f>
        <v>146812.7698680996</v>
      </c>
      <c r="BE8" s="20">
        <f>'CAM-Apr2025'!H6</f>
        <v>283187.2301319004</v>
      </c>
      <c r="BF8" s="20">
        <f>'CAM-May2025'!C6</f>
        <v>430000</v>
      </c>
      <c r="BG8" s="20">
        <f>'CAM-May2025'!G6</f>
        <v>146812.7698680996</v>
      </c>
      <c r="BH8" s="20">
        <f>'CAM-May2025'!H6</f>
        <v>283187.2301319004</v>
      </c>
      <c r="BI8" s="20">
        <f>'CAM-Jun2025'!C6</f>
        <v>430000</v>
      </c>
      <c r="BJ8" s="20">
        <f>'CAM-Jun2025'!G6</f>
        <v>146812.7698680996</v>
      </c>
      <c r="BK8" s="20">
        <f>'CAM-Jun2025'!H6</f>
        <v>283187.2301319004</v>
      </c>
      <c r="BL8" s="20">
        <f>'CAM-Jul2025'!C6</f>
        <v>430000</v>
      </c>
      <c r="BM8" s="20">
        <f>'CAM-Jul2025'!G6</f>
        <v>146812.7698680996</v>
      </c>
      <c r="BN8" s="20">
        <f>'CAM-Jul2025'!H6</f>
        <v>283187.2301319004</v>
      </c>
      <c r="BO8" s="20">
        <f>'CAM-Aug2025'!C6</f>
        <v>440000</v>
      </c>
      <c r="BP8" s="20">
        <f>'CAM-Aug2025'!G6</f>
        <v>150227.0203301484</v>
      </c>
      <c r="BQ8" s="20">
        <f>'CAM-Aug2025'!H6</f>
        <v>289772.9796698516</v>
      </c>
      <c r="BR8" s="20">
        <f>'CAM-Sep2025'!C6</f>
        <v>440000</v>
      </c>
      <c r="BS8" s="20">
        <f>'CAM-Sep2025'!G6</f>
        <v>150227.0203301484</v>
      </c>
      <c r="BT8" s="20">
        <f>'CAM-Sep2025'!H6</f>
        <v>289772.9796698516</v>
      </c>
      <c r="BU8" s="20">
        <f>'CAM-Oct2025'!C6</f>
        <v>430065</v>
      </c>
      <c r="BV8" s="20">
        <f>'CAM-Oct2025'!G6</f>
        <v>146834.9624961029</v>
      </c>
      <c r="BW8" s="20">
        <f>'CAM-Oct2025'!H6</f>
        <v>283230.0375038971</v>
      </c>
      <c r="BX8" s="20">
        <f>'CAM-Nov2025'!C6</f>
        <v>429733</v>
      </c>
      <c r="BY8" s="20">
        <f>'CAM-Nov2025'!G6</f>
        <v>146721.60938076288</v>
      </c>
      <c r="BZ8" s="20">
        <f>'CAM-Nov2025'!H6</f>
        <v>283011.39061923709</v>
      </c>
    </row>
    <row r="9" spans="1:78" ht="18" customHeight="1" x14ac:dyDescent="0.25">
      <c r="A9" s="17">
        <v>2</v>
      </c>
      <c r="B9" s="22" t="s">
        <v>39</v>
      </c>
      <c r="C9" s="19">
        <f>'CAM-Jun`23'!C7</f>
        <v>214572.12</v>
      </c>
      <c r="D9" s="20">
        <f>'CAM-Jul`23'!C7</f>
        <v>319159.81</v>
      </c>
      <c r="E9" s="20">
        <f>'CAM-Aug`23'!C7</f>
        <v>336939.16</v>
      </c>
      <c r="F9" s="20">
        <f>'CAM-Sep`23'!C7</f>
        <v>303890.86</v>
      </c>
      <c r="G9" s="20">
        <f>'CAM-Oct`23'!C7</f>
        <v>313903.64</v>
      </c>
      <c r="H9" s="20">
        <f>'CAM-Nov`23'!C7</f>
        <v>315254.99</v>
      </c>
      <c r="I9" s="20">
        <f>'CAM-Dec`23'!C7</f>
        <v>315466</v>
      </c>
      <c r="J9" s="20">
        <f>'CAM-Jan`24'!C6</f>
        <v>354076</v>
      </c>
      <c r="K9" s="20">
        <f>'CAM-Jan`24'!G6</f>
        <v>39190.931734921382</v>
      </c>
      <c r="L9" s="20">
        <f>'CAM-Jan`24'!H6</f>
        <v>314885.06826507859</v>
      </c>
      <c r="M9" s="20">
        <f>'CAM-Feb`24'!C6</f>
        <v>396050.84</v>
      </c>
      <c r="N9" s="20">
        <f>'CAM-Feb`24'!G6</f>
        <v>43836.920418210415</v>
      </c>
      <c r="O9" s="20">
        <f>'CAM-Feb`24'!H6</f>
        <v>352213.91958178964</v>
      </c>
      <c r="P9" s="20">
        <f>'CAM-Mar`24'!C7</f>
        <v>445788.92</v>
      </c>
      <c r="Q9" s="20">
        <f>'CAM-Mar`24'!G7</f>
        <v>49342.183971532468</v>
      </c>
      <c r="R9" s="20">
        <f>'CAM-Mar`24'!H7</f>
        <v>396446.73602846754</v>
      </c>
      <c r="S9" s="20">
        <f>'CAM-Apr`24'!C7</f>
        <v>449526</v>
      </c>
      <c r="T9" s="20">
        <f>'CAM-Apr`24'!G7</f>
        <v>49755.82298453516</v>
      </c>
      <c r="U9" s="20">
        <f>'CAM-Apr`24'!H7</f>
        <v>399770.17701546487</v>
      </c>
      <c r="V9" s="20">
        <f>'CAM-May`24'!C7</f>
        <v>442335.19</v>
      </c>
      <c r="W9" s="21">
        <f>'CAM-May`24'!G7</f>
        <v>48959.907577027196</v>
      </c>
      <c r="X9" s="20">
        <f>'CAM-May`24'!H7</f>
        <v>393375.28242297278</v>
      </c>
      <c r="Y9" s="20">
        <f>'CAM-Jun`24'!C7</f>
        <v>448502.68</v>
      </c>
      <c r="Z9" s="21">
        <f>'CAM-Jun`24'!G7</f>
        <v>49642.556724571245</v>
      </c>
      <c r="AA9" s="20">
        <f>'CAM-Jun`24'!H7</f>
        <v>398860.12327542878</v>
      </c>
      <c r="AB9" s="20">
        <f>'CAM-Jul`24'!C7</f>
        <v>434075</v>
      </c>
      <c r="AC9" s="20">
        <f>'CAM-Jul`24'!G7</f>
        <v>48045.627754595058</v>
      </c>
      <c r="AD9" s="20">
        <f>'CAM-Jul`24'!H7</f>
        <v>386029.37224540493</v>
      </c>
      <c r="AE9" s="20">
        <f>'CAM-Aug`24'!C7</f>
        <v>458568</v>
      </c>
      <c r="AF9" s="20">
        <f>'CAM-Aug`24'!G7</f>
        <v>50756.637512340378</v>
      </c>
      <c r="AG9" s="20">
        <f>'CAM-Aug`24'!H7</f>
        <v>407811.36248765961</v>
      </c>
      <c r="AH9" s="20">
        <f>'CAM-Sep`24'!C7</f>
        <v>454526.61</v>
      </c>
      <c r="AI9" s="20">
        <f>'CAM-Sep`24'!G7</f>
        <v>50309.31592148362</v>
      </c>
      <c r="AJ9" s="20">
        <f>'CAM-Sep`24'!H7</f>
        <v>404217.29407851637</v>
      </c>
      <c r="AK9" s="20">
        <f>'CAM-Oct`24'!C7</f>
        <v>451719.26</v>
      </c>
      <c r="AL9" s="20">
        <f>'CAM-Oct`24'!G7</f>
        <v>49998.584151451112</v>
      </c>
      <c r="AM9" s="20">
        <f>'CAM-Oct`24'!H7</f>
        <v>401720.67584854888</v>
      </c>
      <c r="AN9" s="20">
        <f>'CAM-Nov`24'!C7</f>
        <v>443919</v>
      </c>
      <c r="AO9" s="20">
        <f>'CAM-Nov`24'!G7</f>
        <v>49135.211719615472</v>
      </c>
      <c r="AP9" s="20">
        <f>'CAM-Nov`24'!H7</f>
        <v>394783.7882803845</v>
      </c>
      <c r="AQ9" s="20">
        <f>'CAM-Dec2024'!C7</f>
        <v>515108</v>
      </c>
      <c r="AR9" s="20">
        <f>'CAM-Dec2024'!G7</f>
        <v>57014.772150927725</v>
      </c>
      <c r="AS9" s="20">
        <f>'CAM-Dec2024'!H7</f>
        <v>458093.22784907225</v>
      </c>
      <c r="AT9" s="20">
        <f>'CAM-Jan2025'!C7</f>
        <v>473152</v>
      </c>
      <c r="AU9" s="20">
        <f>'CAM-Jan2025'!G7</f>
        <v>52370.868774617666</v>
      </c>
      <c r="AV9" s="20">
        <f>'CAM-Jan2025'!H7</f>
        <v>420781.13122538233</v>
      </c>
      <c r="AW9" s="20">
        <f>'CAM-Feb2025'!C7</f>
        <v>469303</v>
      </c>
      <c r="AX9" s="20">
        <f>'CAM-Feb2025'!G7</f>
        <v>51944.841887035022</v>
      </c>
      <c r="AY9" s="20">
        <f>'CAM-Feb2025'!H7</f>
        <v>417358.158112965</v>
      </c>
      <c r="AZ9" s="20">
        <f>'CAM-Mar2025'!C7</f>
        <v>460044</v>
      </c>
      <c r="BA9" s="20">
        <f>'CAM-Mar2025'!G7</f>
        <v>50920.008696043151</v>
      </c>
      <c r="BB9" s="20">
        <f>'CAM-Mar2025'!H7</f>
        <v>409123.99130395683</v>
      </c>
      <c r="BC9" s="20">
        <f>'CAM-Apr2025'!C7</f>
        <v>438967</v>
      </c>
      <c r="BD9" s="20">
        <f>'CAM-Apr2025'!G7</f>
        <v>48587.099184590974</v>
      </c>
      <c r="BE9" s="20">
        <f>'CAM-Apr2025'!H7</f>
        <v>390379.90081540903</v>
      </c>
      <c r="BF9" s="20">
        <f>'CAM-May2025'!C7</f>
        <v>455320</v>
      </c>
      <c r="BG9" s="20">
        <f>'CAM-May2025'!G7</f>
        <v>50397.132360127223</v>
      </c>
      <c r="BH9" s="20">
        <f>'CAM-May2025'!H7</f>
        <v>404922.86763987277</v>
      </c>
      <c r="BI9" s="20">
        <f>'CAM-Jun2025'!C7</f>
        <v>467212</v>
      </c>
      <c r="BJ9" s="20">
        <f>'CAM-Jun2025'!G7</f>
        <v>51713.399376789421</v>
      </c>
      <c r="BK9" s="20">
        <f>'CAM-Jun2025'!H7</f>
        <v>415498.6006232106</v>
      </c>
      <c r="BL9" s="20">
        <f>'CAM-Jul2025'!C7</f>
        <v>513432</v>
      </c>
      <c r="BM9" s="20">
        <f>'CAM-Jul2025'!G7</f>
        <v>56829.263950463057</v>
      </c>
      <c r="BN9" s="20">
        <f>'CAM-Jul2025'!H7</f>
        <v>456602.73604953696</v>
      </c>
      <c r="BO9" s="20">
        <f>'CAM-Aug2025'!C7</f>
        <v>498816</v>
      </c>
      <c r="BP9" s="20">
        <f>'CAM-Aug2025'!G7</f>
        <v>55211.490765503862</v>
      </c>
      <c r="BQ9" s="20">
        <f>'CAM-Aug2025'!H7</f>
        <v>443604.50923449616</v>
      </c>
      <c r="BR9" s="20">
        <f>'CAM-Sep2025'!C7</f>
        <v>500685</v>
      </c>
      <c r="BS9" s="20">
        <f>'CAM-Sep2025'!G7</f>
        <v>55418.361187143761</v>
      </c>
      <c r="BT9" s="20">
        <f>'CAM-Sep2025'!H7</f>
        <v>445266.63881285622</v>
      </c>
      <c r="BU9" s="20">
        <f>'CAM-Oct2025'!C7</f>
        <v>481179</v>
      </c>
      <c r="BV9" s="20">
        <f>'CAM-Oct2025'!G7</f>
        <v>53259.337942356266</v>
      </c>
      <c r="BW9" s="20">
        <f>'CAM-Oct2025'!H7</f>
        <v>427919.66205764376</v>
      </c>
      <c r="BX9" s="20">
        <f>'CAM-Nov2025'!C7</f>
        <v>472384</v>
      </c>
      <c r="BY9" s="20">
        <f>'CAM-Nov2025'!G7</f>
        <v>52285.862630251984</v>
      </c>
      <c r="BZ9" s="20">
        <f>'CAM-Nov2025'!H7</f>
        <v>420098.13736974803</v>
      </c>
    </row>
    <row r="10" spans="1:78" ht="18" customHeight="1" x14ac:dyDescent="0.25">
      <c r="A10" s="17">
        <v>3</v>
      </c>
      <c r="B10" s="22" t="s">
        <v>40</v>
      </c>
      <c r="C10" s="19">
        <f>'CAM-Jun`23'!C8</f>
        <v>83898</v>
      </c>
      <c r="D10" s="20">
        <f>'CAM-Jul`23'!C8</f>
        <v>202650</v>
      </c>
      <c r="E10" s="20">
        <f>'CAM-Aug`23'!C8</f>
        <v>232689</v>
      </c>
      <c r="F10" s="20">
        <f>'CAM-Sep`23'!C8</f>
        <v>200251</v>
      </c>
      <c r="G10" s="20">
        <f>'CAM-Oct`23'!C8</f>
        <v>209224</v>
      </c>
      <c r="H10" s="20">
        <f>'CAM-Nov`23'!C8</f>
        <v>223858</v>
      </c>
      <c r="I10" s="20">
        <f>'CAM-Dec`23'!C8</f>
        <v>214010</v>
      </c>
      <c r="J10" s="20">
        <f>'CAM-Jan`24'!C7</f>
        <v>253952</v>
      </c>
      <c r="K10" s="20">
        <f>'CAM-Jan`24'!G7</f>
        <v>59296.014618394693</v>
      </c>
      <c r="L10" s="20">
        <f>'CAM-Jan`24'!H7</f>
        <v>194655.98538160531</v>
      </c>
      <c r="M10" s="20">
        <f>'CAM-Feb`24'!C7</f>
        <v>295625</v>
      </c>
      <c r="N10" s="20">
        <f>'CAM-Feb`24'!G7</f>
        <v>69026.368453735093</v>
      </c>
      <c r="O10" s="20">
        <f>'CAM-Feb`24'!H7</f>
        <v>226598.63154626492</v>
      </c>
      <c r="P10" s="20">
        <f>'CAM-Mar`24'!C8</f>
        <v>340210</v>
      </c>
      <c r="Q10" s="20">
        <f>'CAM-Mar`24'!G8</f>
        <v>79436.653908313616</v>
      </c>
      <c r="R10" s="20">
        <f>'CAM-Mar`24'!H8</f>
        <v>260773.3460916864</v>
      </c>
      <c r="S10" s="20">
        <f>'CAM-Apr`24'!C8</f>
        <v>310200</v>
      </c>
      <c r="T10" s="20">
        <f>'CAM-Apr`24'!G8</f>
        <v>72429.528944942489</v>
      </c>
      <c r="U10" s="20">
        <f>'CAM-Apr`24'!H8</f>
        <v>237770.47105505751</v>
      </c>
      <c r="V10" s="20">
        <f>'CAM-May`24'!C8</f>
        <v>354052</v>
      </c>
      <c r="W10" s="21">
        <f>'CAM-May`24'!G8</f>
        <v>82668.664029705935</v>
      </c>
      <c r="X10" s="20">
        <f>'CAM-May`24'!H8</f>
        <v>271383.33597029408</v>
      </c>
      <c r="Y10" s="20">
        <f>'CAM-Jun`24'!C8</f>
        <v>414000</v>
      </c>
      <c r="Z10" s="21">
        <f>'CAM-Jun`24'!G8</f>
        <v>96666.102460368114</v>
      </c>
      <c r="AA10" s="20">
        <f>'CAM-Jun`24'!H8</f>
        <v>317333.89753963187</v>
      </c>
      <c r="AB10" s="20">
        <f>'CAM-Jul`24'!C8</f>
        <v>389390</v>
      </c>
      <c r="AC10" s="20">
        <f>'CAM-Jul`24'!G8</f>
        <v>90919.839703001795</v>
      </c>
      <c r="AD10" s="20">
        <f>'CAM-Jul`24'!H8</f>
        <v>298470.16029699822</v>
      </c>
      <c r="AE10" s="20">
        <f>'CAM-Aug`24'!C8</f>
        <v>396600</v>
      </c>
      <c r="AF10" s="20">
        <f>'CAM-Aug`24'!G8</f>
        <v>92603.32424101932</v>
      </c>
      <c r="AG10" s="20">
        <f>'CAM-Aug`24'!H8</f>
        <v>303996.67575898068</v>
      </c>
      <c r="AH10" s="20">
        <f>'CAM-Sep`24'!C8</f>
        <v>380810</v>
      </c>
      <c r="AI10" s="20">
        <f>'CAM-Sep`24'!G8</f>
        <v>88916.469753460842</v>
      </c>
      <c r="AJ10" s="20">
        <f>'CAM-Sep`24'!H8</f>
        <v>291893.53024653916</v>
      </c>
      <c r="AK10" s="20">
        <f>'CAM-Oct`24'!C8</f>
        <v>414000</v>
      </c>
      <c r="AL10" s="20">
        <f>'CAM-Oct`24'!G8</f>
        <v>96666.102460368114</v>
      </c>
      <c r="AM10" s="20">
        <f>'CAM-Oct`24'!H8</f>
        <v>317333.89753963187</v>
      </c>
      <c r="AN10" s="20">
        <f>'CAM-Nov`24'!C8</f>
        <v>414000</v>
      </c>
      <c r="AO10" s="20">
        <f>'CAM-Nov`24'!G8</f>
        <v>96666.102460368114</v>
      </c>
      <c r="AP10" s="20">
        <f>'CAM-Nov`24'!H8</f>
        <v>317333.89753963187</v>
      </c>
      <c r="AQ10" s="20">
        <f>'CAM-Dec2024'!C8</f>
        <v>414000</v>
      </c>
      <c r="AR10" s="20">
        <f>'CAM-Dec2024'!G8</f>
        <v>96666.102460368114</v>
      </c>
      <c r="AS10" s="20">
        <f>'CAM-Dec2024'!H8</f>
        <v>317333.89753963187</v>
      </c>
      <c r="AT10" s="20">
        <f>'CAM-Jan2025'!C8</f>
        <v>524450.25</v>
      </c>
      <c r="AU10" s="20">
        <f>'CAM-Jan2025'!G8</f>
        <v>122455.46280643884</v>
      </c>
      <c r="AV10" s="20">
        <f>'CAM-Jan2025'!H8</f>
        <v>401994.78719356115</v>
      </c>
      <c r="AW10" s="20">
        <f>'CAM-Feb2025'!C8</f>
        <v>620526</v>
      </c>
      <c r="AX10" s="20">
        <f>'CAM-Feb2025'!G8</f>
        <v>144888.47800802509</v>
      </c>
      <c r="AY10" s="20">
        <f>'CAM-Feb2025'!H8</f>
        <v>475637.52199197491</v>
      </c>
      <c r="AZ10" s="20">
        <f>'CAM-Mar2025'!C8</f>
        <v>459584</v>
      </c>
      <c r="BA10" s="20">
        <f>'CAM-Mar2025'!G8</f>
        <v>107309.64742305755</v>
      </c>
      <c r="BB10" s="20">
        <f>'CAM-Mar2025'!H8</f>
        <v>352274.35257694242</v>
      </c>
      <c r="BC10" s="23">
        <f>'CAM-Apr2025'!C8</f>
        <v>612768</v>
      </c>
      <c r="BD10" s="20">
        <f>'CAM-Apr2025'!G8</f>
        <v>143077.03930539818</v>
      </c>
      <c r="BE10" s="20">
        <f>'CAM-Apr2025'!H8</f>
        <v>469690.96069460182</v>
      </c>
      <c r="BF10" s="20">
        <f>'CAM-May2025'!C8</f>
        <v>578143</v>
      </c>
      <c r="BG10" s="20">
        <f>'CAM-May2025'!G8</f>
        <v>134992.34414189521</v>
      </c>
      <c r="BH10" s="20">
        <f>'CAM-May2025'!H8</f>
        <v>443150.65585810482</v>
      </c>
      <c r="BI10" s="20">
        <f>'CAM-Jun2025'!C8</f>
        <v>458301</v>
      </c>
      <c r="BJ10" s="20">
        <f>'CAM-Jun2025'!G8</f>
        <v>107010.07590263085</v>
      </c>
      <c r="BK10" s="20">
        <f>'CAM-Jun2025'!H8</f>
        <v>351290.92409736913</v>
      </c>
      <c r="BL10" s="23">
        <f>'CAM-Jul2025'!C8</f>
        <v>745595</v>
      </c>
      <c r="BM10" s="20">
        <f>'CAM-Jul2025'!G8</f>
        <v>174091.21416410187</v>
      </c>
      <c r="BN10" s="20">
        <f>'CAM-Jul2025'!H8</f>
        <v>571503.78583589813</v>
      </c>
      <c r="BO10" s="20">
        <f>'CAM-Aug2025'!C8</f>
        <v>570028</v>
      </c>
      <c r="BP10" s="20">
        <f>'CAM-Aug2025'!G8</f>
        <v>133097.5484378713</v>
      </c>
      <c r="BQ10" s="20">
        <f>'CAM-Aug2025'!H8</f>
        <v>436930.45156212873</v>
      </c>
      <c r="BR10" s="20">
        <f>'CAM-Sep2025'!C8</f>
        <v>563243</v>
      </c>
      <c r="BS10" s="20">
        <f>'CAM-Sep2025'!G8</f>
        <v>131513.29842532639</v>
      </c>
      <c r="BT10" s="20">
        <f>'CAM-Sep2025'!H8</f>
        <v>431729.70157467364</v>
      </c>
      <c r="BU10" s="20">
        <f>'CAM-Oct2025'!C8</f>
        <v>587396</v>
      </c>
      <c r="BV10" s="20">
        <f>'CAM-Oct2025'!G8</f>
        <v>137152.85488118452</v>
      </c>
      <c r="BW10" s="20">
        <f>'CAM-Oct2025'!H8</f>
        <v>450243.14511881548</v>
      </c>
      <c r="BX10" s="20">
        <f>'CAM-Nov2025'!C8</f>
        <v>659735</v>
      </c>
      <c r="BY10" s="20">
        <f>'CAM-Nov2025'!G8</f>
        <v>154043.50508862553</v>
      </c>
      <c r="BZ10" s="20">
        <f>'CAM-Nov2025'!H8</f>
        <v>505691.49491137447</v>
      </c>
    </row>
    <row r="11" spans="1:78" ht="18" customHeight="1" x14ac:dyDescent="0.25">
      <c r="A11" s="17">
        <v>4</v>
      </c>
      <c r="B11" s="22" t="s">
        <v>41</v>
      </c>
      <c r="C11" s="19">
        <f>'CAM-Jun`23'!C9</f>
        <v>158096</v>
      </c>
      <c r="D11" s="20">
        <f>'CAM-Jul`23'!C9</f>
        <v>581771.07999999996</v>
      </c>
      <c r="E11" s="20">
        <f>'CAM-Aug`23'!C9</f>
        <v>605821.07999999996</v>
      </c>
      <c r="F11" s="20">
        <f>'CAM-Sep`23'!C9</f>
        <v>674625.17</v>
      </c>
      <c r="G11" s="20">
        <f>'CAM-Oct`23'!C9</f>
        <v>660344.44999999995</v>
      </c>
      <c r="H11" s="20">
        <f>'CAM-Nov`23'!C9</f>
        <v>637994.43999999994</v>
      </c>
      <c r="I11" s="20">
        <f>'CAM-Dec`23'!C9</f>
        <v>660344</v>
      </c>
      <c r="J11" s="20">
        <f>'CAM-Jan`24'!C8</f>
        <v>751571</v>
      </c>
      <c r="K11" s="20">
        <f>'CAM-Jan`24'!G8</f>
        <v>256605.16340124994</v>
      </c>
      <c r="L11" s="20">
        <f>'CAM-Jan`24'!H8</f>
        <v>494965.83659875009</v>
      </c>
      <c r="M11" s="20">
        <f>'CAM-Feb`24'!C8</f>
        <v>776020.71</v>
      </c>
      <c r="N11" s="20">
        <f>'CAM-Feb`24'!G8</f>
        <v>264952.90676769591</v>
      </c>
      <c r="O11" s="20">
        <f>'CAM-Feb`24'!H8</f>
        <v>511067.80323230405</v>
      </c>
      <c r="P11" s="20">
        <f>'CAM-Mar`24'!C9</f>
        <v>680837.4</v>
      </c>
      <c r="Q11" s="20">
        <f>'CAM-Mar`24'!G9</f>
        <v>232454.94075301223</v>
      </c>
      <c r="R11" s="20">
        <f>'CAM-Mar`24'!H9</f>
        <v>448382.45924698777</v>
      </c>
      <c r="S11" s="20">
        <f>'CAM-Apr`24'!C9</f>
        <v>656106</v>
      </c>
      <c r="T11" s="20">
        <f>'CAM-Apr`24'!G9</f>
        <v>224011.02136530078</v>
      </c>
      <c r="U11" s="20">
        <f>'CAM-Apr`24'!H9</f>
        <v>432094.97863469919</v>
      </c>
      <c r="V11" s="20">
        <f>'CAM-May`24'!C9</f>
        <v>802542.26</v>
      </c>
      <c r="W11" s="21">
        <f>'CAM-May`24'!G9</f>
        <v>274008.02820187103</v>
      </c>
      <c r="X11" s="20">
        <f>'CAM-May`24'!H9</f>
        <v>528534.23179812904</v>
      </c>
      <c r="Y11" s="20">
        <f>'CAM-Jun`24'!C9</f>
        <v>675091</v>
      </c>
      <c r="Z11" s="21">
        <f>'CAM-Jun`24'!G9</f>
        <v>230492.9758675005</v>
      </c>
      <c r="AA11" s="20">
        <f>'CAM-Jun`24'!H9</f>
        <v>444598.02413249947</v>
      </c>
      <c r="AB11" s="20">
        <f>'CAM-Jul`24'!C9</f>
        <v>677635</v>
      </c>
      <c r="AC11" s="20">
        <f>'CAM-Jul`24'!G9</f>
        <v>231361.56118504572</v>
      </c>
      <c r="AD11" s="20">
        <f>'CAM-Jul`24'!H9</f>
        <v>446273.43881495425</v>
      </c>
      <c r="AE11" s="20">
        <f>'CAM-Aug`24'!C9</f>
        <v>729655</v>
      </c>
      <c r="AF11" s="20">
        <f>'CAM-Aug`24'!G9</f>
        <v>249122.49208862369</v>
      </c>
      <c r="AG11" s="20">
        <f>'CAM-Aug`24'!H9</f>
        <v>480532.50791137625</v>
      </c>
      <c r="AH11" s="20">
        <f>'CAM-Sep`24'!C9</f>
        <v>757772.45</v>
      </c>
      <c r="AI11" s="20">
        <f>'CAM-Sep`24'!G9</f>
        <v>258722.49375403719</v>
      </c>
      <c r="AJ11" s="20">
        <f>'CAM-Sep`24'!H9</f>
        <v>499049.95624596276</v>
      </c>
      <c r="AK11" s="20">
        <f>'CAM-Oct`24'!C9</f>
        <v>712510.19</v>
      </c>
      <c r="AL11" s="20">
        <f>'CAM-Oct`24'!G9</f>
        <v>243268.82454219976</v>
      </c>
      <c r="AM11" s="20">
        <f>'CAM-Oct`24'!H9</f>
        <v>469241.36545780022</v>
      </c>
      <c r="AN11" s="20">
        <f>'CAM-Nov`24'!C9</f>
        <v>728782.43</v>
      </c>
      <c r="AO11" s="20">
        <f>'CAM-Nov`24'!G9</f>
        <v>248824.57483605674</v>
      </c>
      <c r="AP11" s="20">
        <f>'CAM-Nov`24'!H9</f>
        <v>479957.85516394331</v>
      </c>
      <c r="AQ11" s="20">
        <f>'CAM-Dec2024'!C9</f>
        <v>760481</v>
      </c>
      <c r="AR11" s="20">
        <f>'CAM-Dec2024'!G9</f>
        <v>259647.26056293544</v>
      </c>
      <c r="AS11" s="20">
        <f>'CAM-Dec2024'!H9</f>
        <v>500833.73943706462</v>
      </c>
      <c r="AT11" s="20">
        <f>'CAM-Jan2025'!C9</f>
        <v>713053</v>
      </c>
      <c r="AU11" s="20">
        <f>'CAM-Jan2025'!G9</f>
        <v>243454.15347153027</v>
      </c>
      <c r="AV11" s="20">
        <f>'CAM-Jan2025'!H9</f>
        <v>469598.84652846976</v>
      </c>
      <c r="AW11" s="20">
        <f>'CAM-Feb2025'!C9</f>
        <v>685071</v>
      </c>
      <c r="AX11" s="20">
        <f>'CAM-Feb2025'!G9</f>
        <v>233900.39782862522</v>
      </c>
      <c r="AY11" s="20">
        <f>'CAM-Feb2025'!H9</f>
        <v>451170.60217137478</v>
      </c>
      <c r="AZ11" s="20">
        <f>'CAM-Mar2025'!C9</f>
        <v>753414</v>
      </c>
      <c r="BA11" s="20">
        <f>'CAM-Mar2025'!G9</f>
        <v>257234.40976140552</v>
      </c>
      <c r="BB11" s="20">
        <f>'CAM-Mar2025'!H9</f>
        <v>496179.59023859445</v>
      </c>
      <c r="BC11" s="20">
        <f>'CAM-Apr2025'!C9</f>
        <v>699771</v>
      </c>
      <c r="BD11" s="20">
        <f>'CAM-Apr2025'!G9</f>
        <v>238919.34600783701</v>
      </c>
      <c r="BE11" s="20">
        <f>'CAM-Apr2025'!H9</f>
        <v>460851.65399216302</v>
      </c>
      <c r="BF11" s="20">
        <f>'CAM-May2025'!C9</f>
        <v>825265</v>
      </c>
      <c r="BG11" s="20">
        <f>'CAM-May2025'!G9</f>
        <v>281766.14075627259</v>
      </c>
      <c r="BH11" s="20">
        <f>'CAM-May2025'!H9</f>
        <v>543498.85924372752</v>
      </c>
      <c r="BI11" s="20">
        <f>'CAM-Jun2025'!C9</f>
        <v>795848</v>
      </c>
      <c r="BJ11" s="20">
        <f>'CAM-Jun2025'!G9</f>
        <v>271722.44017206354</v>
      </c>
      <c r="BK11" s="20">
        <f>'CAM-Jun2025'!H9</f>
        <v>524125.55982793646</v>
      </c>
      <c r="BL11" s="20">
        <f>'CAM-Jul2025'!C9</f>
        <v>805517</v>
      </c>
      <c r="BM11" s="20">
        <f>'CAM-Jul2025'!G9</f>
        <v>275023.67894381849</v>
      </c>
      <c r="BN11" s="20">
        <f>'CAM-Jul2025'!H9</f>
        <v>530493.32105618145</v>
      </c>
      <c r="BO11" s="20">
        <f>'CAM-Aug2025'!C9</f>
        <v>812461</v>
      </c>
      <c r="BP11" s="20">
        <f>'CAM-Aug2025'!G9</f>
        <v>277394.53446466528</v>
      </c>
      <c r="BQ11" s="20">
        <f>'CAM-Aug2025'!H9</f>
        <v>535066.46553533478</v>
      </c>
      <c r="BR11" s="20">
        <f>'CAM-Sep2025'!C9</f>
        <v>816680</v>
      </c>
      <c r="BS11" s="20">
        <f>'CAM-Sep2025'!G9</f>
        <v>278835.00673460367</v>
      </c>
      <c r="BT11" s="20">
        <f>'CAM-Sep2025'!H9</f>
        <v>537844.99326539633</v>
      </c>
      <c r="BU11" s="20">
        <f>'CAM-Oct2025'!C9</f>
        <v>782706</v>
      </c>
      <c r="BV11" s="20">
        <f>'CAM-Oct2025'!G9</f>
        <v>267235.43221483898</v>
      </c>
      <c r="BW11" s="20">
        <f>'CAM-Oct2025'!H9</f>
        <v>515470.56778516108</v>
      </c>
      <c r="BX11" s="20">
        <f>'CAM-Nov2025'!C9</f>
        <v>683583</v>
      </c>
      <c r="BY11" s="20">
        <f>'CAM-Nov2025'!G9</f>
        <v>233392.35735987237</v>
      </c>
      <c r="BZ11" s="20">
        <f>'CAM-Nov2025'!H9</f>
        <v>450190.64264012768</v>
      </c>
    </row>
    <row r="12" spans="1:78" ht="18" customHeight="1" x14ac:dyDescent="0.25">
      <c r="A12" s="17">
        <v>5</v>
      </c>
      <c r="B12" s="22" t="s">
        <v>42</v>
      </c>
      <c r="C12" s="19">
        <f>'CAM-Jun`23'!C10</f>
        <v>0</v>
      </c>
      <c r="D12" s="20">
        <f>'CAM-Jul`23'!C10</f>
        <v>5000</v>
      </c>
      <c r="E12" s="20">
        <f>'CAM-Aug`23'!C10</f>
        <v>50000</v>
      </c>
      <c r="F12" s="20">
        <f>'CAM-Sep`23'!C10</f>
        <v>50000</v>
      </c>
      <c r="G12" s="20">
        <f>'CAM-Oct`23'!C10</f>
        <v>56000</v>
      </c>
      <c r="H12" s="20">
        <f>'CAM-Nov`23'!C10</f>
        <v>56000</v>
      </c>
      <c r="I12" s="20">
        <f>'CAM-Dec`23'!C10</f>
        <v>56000</v>
      </c>
      <c r="J12" s="20">
        <f>'CAM-Jan`24'!C9</f>
        <v>56000</v>
      </c>
      <c r="K12" s="20">
        <f>'CAM-Jan`24'!G9</f>
        <v>19119.802587473434</v>
      </c>
      <c r="L12" s="20">
        <f>'CAM-Jan`24'!H9</f>
        <v>36880.197412526562</v>
      </c>
      <c r="M12" s="20">
        <f>'CAM-Feb`24'!C9</f>
        <v>56000</v>
      </c>
      <c r="N12" s="20">
        <f>'CAM-Feb`24'!G9</f>
        <v>19119.802587473434</v>
      </c>
      <c r="O12" s="20">
        <f>'CAM-Feb`24'!H9</f>
        <v>36880.19741252657</v>
      </c>
      <c r="P12" s="20">
        <f>'CAM-Mar`24'!C10</f>
        <v>56000</v>
      </c>
      <c r="Q12" s="20">
        <f>'CAM-Mar`24'!G10</f>
        <v>19119.802587473434</v>
      </c>
      <c r="R12" s="20">
        <f>'CAM-Mar`24'!H10</f>
        <v>36880.19741252657</v>
      </c>
      <c r="S12" s="20">
        <f>'CAM-Apr`24'!C10</f>
        <v>208000</v>
      </c>
      <c r="T12" s="20">
        <f>'CAM-Apr`24'!G10</f>
        <v>71016.409610615607</v>
      </c>
      <c r="U12" s="20">
        <f>'CAM-Apr`24'!H10</f>
        <v>136983.59038938439</v>
      </c>
      <c r="V12" s="20">
        <f>'CAM-May`24'!C10</f>
        <v>216000</v>
      </c>
      <c r="W12" s="21">
        <f>'CAM-May`24'!G10</f>
        <v>73747.809980254664</v>
      </c>
      <c r="X12" s="20">
        <f>'CAM-May`24'!H10</f>
        <v>142252.19001974532</v>
      </c>
      <c r="Y12" s="20">
        <f>'CAM-Jun`24'!C10</f>
        <v>136000</v>
      </c>
      <c r="Z12" s="21">
        <f>'CAM-Jun`24'!G10</f>
        <v>46433.806283864047</v>
      </c>
      <c r="AA12" s="20">
        <f>'CAM-Jun`24'!H10</f>
        <v>89566.193716135953</v>
      </c>
      <c r="AB12" s="20">
        <f>'CAM-Jul`24'!C10</f>
        <v>212462</v>
      </c>
      <c r="AC12" s="20">
        <f>'CAM-Jul`24'!G10</f>
        <v>72539.848166781798</v>
      </c>
      <c r="AD12" s="20">
        <f>'CAM-Jul`24'!H10</f>
        <v>139922.1518332182</v>
      </c>
      <c r="AE12" s="20">
        <f>'CAM-Aug`24'!C10</f>
        <v>136000</v>
      </c>
      <c r="AF12" s="20">
        <f>'CAM-Aug`24'!G10</f>
        <v>46433.806283864047</v>
      </c>
      <c r="AG12" s="20">
        <f>'CAM-Aug`24'!H10</f>
        <v>89566.193716135953</v>
      </c>
      <c r="AH12" s="20">
        <f>'CAM-Sep`24'!C10</f>
        <v>136000</v>
      </c>
      <c r="AI12" s="20">
        <f>'CAM-Sep`24'!G10</f>
        <v>46433.806283864047</v>
      </c>
      <c r="AJ12" s="20">
        <f>'CAM-Sep`24'!H10</f>
        <v>89566.193716135953</v>
      </c>
      <c r="AK12" s="20">
        <f>'CAM-Oct`24'!C10</f>
        <v>136000</v>
      </c>
      <c r="AL12" s="20">
        <f>'CAM-Oct`24'!G10</f>
        <v>46433.806283864047</v>
      </c>
      <c r="AM12" s="20">
        <f>'CAM-Oct`24'!H10</f>
        <v>89566.193716135953</v>
      </c>
      <c r="AN12" s="20">
        <f>'CAM-Nov`24'!C10</f>
        <v>368050</v>
      </c>
      <c r="AO12" s="20">
        <f>'CAM-Nov`24'!G10</f>
        <v>125661.48825570708</v>
      </c>
      <c r="AP12" s="20">
        <f>'CAM-Nov`24'!H10</f>
        <v>242388.51174429292</v>
      </c>
      <c r="AQ12" s="20">
        <f>'CAM-Dec2024'!C10</f>
        <v>280000</v>
      </c>
      <c r="AR12" s="20">
        <f>'CAM-Dec2024'!G10</f>
        <v>95599.012937367166</v>
      </c>
      <c r="AS12" s="20">
        <f>'CAM-Dec2024'!H10</f>
        <v>184400.98706263283</v>
      </c>
      <c r="AT12" s="20">
        <f>'CAM-Jan2025'!C10</f>
        <v>297850</v>
      </c>
      <c r="AU12" s="20">
        <f>'CAM-Jan2025'!G10</f>
        <v>101693.45001212433</v>
      </c>
      <c r="AV12" s="20">
        <f>'CAM-Jan2025'!H10</f>
        <v>196156.54998787568</v>
      </c>
      <c r="AW12" s="20">
        <f>'CAM-Feb2025'!C10</f>
        <v>161800</v>
      </c>
      <c r="AX12" s="20">
        <f>'CAM-Feb2025'!G10</f>
        <v>55242.57247595003</v>
      </c>
      <c r="AY12" s="20">
        <f>'CAM-Feb2025'!H10</f>
        <v>106557.42752404997</v>
      </c>
      <c r="AZ12" s="20">
        <f>'CAM-Mar2025'!C10</f>
        <v>165348</v>
      </c>
      <c r="BA12" s="20">
        <f>'CAM-Mar2025'!G10</f>
        <v>56453.94853988495</v>
      </c>
      <c r="BB12" s="20">
        <f>'CAM-Mar2025'!H10</f>
        <v>108894.05146011505</v>
      </c>
      <c r="BC12" s="20">
        <f>'CAM-Apr2025'!C10</f>
        <v>166800</v>
      </c>
      <c r="BD12" s="20">
        <f>'CAM-Apr2025'!G10</f>
        <v>56949.697706974446</v>
      </c>
      <c r="BE12" s="20">
        <f>'CAM-Apr2025'!H10</f>
        <v>109850.30229302555</v>
      </c>
      <c r="BF12" s="20">
        <f>'CAM-May2025'!C10</f>
        <v>236800</v>
      </c>
      <c r="BG12" s="20">
        <f>'CAM-May2025'!G10</f>
        <v>80849.45094131623</v>
      </c>
      <c r="BH12" s="20">
        <f>'CAM-May2025'!H10</f>
        <v>155950.54905868377</v>
      </c>
      <c r="BI12" s="20">
        <f>'CAM-Jun2025'!C10</f>
        <v>161497</v>
      </c>
      <c r="BJ12" s="20">
        <f>'CAM-Jun2025'!G10</f>
        <v>55139.120686949951</v>
      </c>
      <c r="BK12" s="20">
        <f>'CAM-Jun2025'!H10</f>
        <v>106357.87931305004</v>
      </c>
      <c r="BL12" s="20">
        <f>'CAM-Jul2025'!C10</f>
        <v>233897</v>
      </c>
      <c r="BM12" s="20">
        <f>'CAM-Jul2025'!G10</f>
        <v>79858.294032183461</v>
      </c>
      <c r="BN12" s="20">
        <f>'CAM-Jul2025'!H10</f>
        <v>154038.70596781652</v>
      </c>
      <c r="BO12" s="20">
        <f>'CAM-Aug2025'!C10</f>
        <v>163897</v>
      </c>
      <c r="BP12" s="20">
        <f>'CAM-Aug2025'!G10</f>
        <v>55958.54079784167</v>
      </c>
      <c r="BQ12" s="20">
        <f>'CAM-Aug2025'!H10</f>
        <v>107938.45920215832</v>
      </c>
      <c r="BR12" s="20">
        <f>'CAM-Sep2025'!C10</f>
        <v>157810</v>
      </c>
      <c r="BS12" s="20">
        <f>'CAM-Sep2025'!G10</f>
        <v>53880.286541592541</v>
      </c>
      <c r="BT12" s="20">
        <f>'CAM-Sep2025'!H10</f>
        <v>103929.71345840747</v>
      </c>
      <c r="BU12" s="20">
        <f>'CAM-Oct2025'!C10</f>
        <v>164040</v>
      </c>
      <c r="BV12" s="20">
        <f>'CAM-Oct2025'!G10</f>
        <v>56007.364579448964</v>
      </c>
      <c r="BW12" s="20">
        <f>'CAM-Oct2025'!H10</f>
        <v>108032.63542055103</v>
      </c>
      <c r="BX12" s="20">
        <f>'CAM-Nov2025'!C10</f>
        <v>207686</v>
      </c>
      <c r="BY12" s="20">
        <f>'CAM-Nov2025'!G10</f>
        <v>70909.202146107273</v>
      </c>
      <c r="BZ12" s="20">
        <f>'CAM-Nov2025'!H10</f>
        <v>136776.79785389273</v>
      </c>
    </row>
    <row r="13" spans="1:78" ht="18" customHeight="1" x14ac:dyDescent="0.25">
      <c r="A13" s="17">
        <v>6</v>
      </c>
      <c r="B13" s="18" t="s">
        <v>43</v>
      </c>
      <c r="C13" s="19"/>
      <c r="D13" s="20"/>
      <c r="E13" s="20"/>
      <c r="F13" s="20"/>
      <c r="G13" s="20"/>
      <c r="H13" s="20"/>
      <c r="I13" s="20"/>
      <c r="J13" s="20"/>
      <c r="K13" s="20">
        <f>'CAM-Jan`24'!G10</f>
        <v>0</v>
      </c>
      <c r="L13" s="20">
        <f>'CAM-Jan`24'!H10</f>
        <v>0</v>
      </c>
      <c r="M13" s="20">
        <f>'CAM-Feb`24'!C10</f>
        <v>0</v>
      </c>
      <c r="N13" s="20">
        <f>'CAM-Feb`24'!G10</f>
        <v>0</v>
      </c>
      <c r="O13" s="20">
        <f>'CAM-Feb`24'!H10</f>
        <v>0</v>
      </c>
      <c r="P13" s="20">
        <f>'CAM-Mar`24'!C11</f>
        <v>0</v>
      </c>
      <c r="Q13" s="20">
        <f>'CAM-Mar`24'!G11</f>
        <v>0</v>
      </c>
      <c r="R13" s="20">
        <f>'CAM-Mar`24'!H11</f>
        <v>0</v>
      </c>
      <c r="S13" s="20">
        <f>'CAM-Apr`24'!C11</f>
        <v>0</v>
      </c>
      <c r="T13" s="20">
        <f>'CAM-Apr`24'!G11</f>
        <v>0</v>
      </c>
      <c r="U13" s="20">
        <f>'CAM-Apr`24'!H11</f>
        <v>0</v>
      </c>
      <c r="V13" s="20">
        <f>'CAM-May`24'!C11</f>
        <v>0</v>
      </c>
      <c r="W13" s="21">
        <f>'CAM-May`24'!G11</f>
        <v>0</v>
      </c>
      <c r="X13" s="20">
        <f>'CAM-May`24'!H11</f>
        <v>0</v>
      </c>
      <c r="Y13" s="20">
        <f>'CAM-Jun`24'!C11</f>
        <v>51573</v>
      </c>
      <c r="Z13" s="21">
        <f>'CAM-Jun`24'!G11</f>
        <v>0</v>
      </c>
      <c r="AA13" s="20">
        <f>'CAM-Jun`24'!H11</f>
        <v>51573</v>
      </c>
      <c r="AB13" s="20">
        <f>'CAM-Jul`24'!C11</f>
        <v>55573</v>
      </c>
      <c r="AC13" s="20">
        <f>'CAM-Jul`24'!G11</f>
        <v>0</v>
      </c>
      <c r="AD13" s="20">
        <f>'CAM-Jul`24'!H11</f>
        <v>55573</v>
      </c>
      <c r="AE13" s="20">
        <f>'CAM-Aug`24'!C11</f>
        <v>55573</v>
      </c>
      <c r="AF13" s="20">
        <f>'CAM-Aug`24'!G11</f>
        <v>0</v>
      </c>
      <c r="AG13" s="20">
        <f>'CAM-Aug`24'!H11</f>
        <v>55573</v>
      </c>
      <c r="AH13" s="20">
        <f>'CAM-Sep`24'!C11</f>
        <v>36451.35</v>
      </c>
      <c r="AI13" s="20">
        <f>'CAM-Sep`24'!G11</f>
        <v>0</v>
      </c>
      <c r="AJ13" s="20">
        <f>'CAM-Sep`24'!H11</f>
        <v>36451.35</v>
      </c>
      <c r="AK13" s="20">
        <f>'CAM-Oct`24'!C11</f>
        <v>9917.52</v>
      </c>
      <c r="AL13" s="20">
        <f>'CAM-Oct`24'!G11</f>
        <v>0</v>
      </c>
      <c r="AM13" s="20">
        <f>'CAM-Oct`24'!H11</f>
        <v>9917.52</v>
      </c>
      <c r="AN13" s="20">
        <f>'CAM-Nov`24'!C11</f>
        <v>29341</v>
      </c>
      <c r="AO13" s="20">
        <f>'CAM-Nov`24'!G11</f>
        <v>0</v>
      </c>
      <c r="AP13" s="20">
        <f>'CAM-Nov`24'!H11</f>
        <v>29341</v>
      </c>
      <c r="AQ13" s="20">
        <f>'CAM-Dec2024'!C11</f>
        <v>48384.5</v>
      </c>
      <c r="AR13" s="20">
        <f>'CAM-Dec2024'!G11</f>
        <v>0</v>
      </c>
      <c r="AS13" s="20">
        <f>'CAM-Dec2024'!H11</f>
        <v>48384.5</v>
      </c>
      <c r="AT13" s="20">
        <f>'CAM-Jan2025'!C11</f>
        <v>22850</v>
      </c>
      <c r="AU13" s="20">
        <f>'CAM-Jan2025'!G11</f>
        <v>0</v>
      </c>
      <c r="AV13" s="20">
        <f>'CAM-Jan2025'!H11</f>
        <v>22850</v>
      </c>
      <c r="AW13" s="20">
        <f>'CAM-Feb2025'!C11</f>
        <v>38461.4</v>
      </c>
      <c r="AX13" s="20">
        <f>'CAM-Feb2025'!G11</f>
        <v>0</v>
      </c>
      <c r="AY13" s="20">
        <f>'CAM-Feb2025'!H11</f>
        <v>38461.4</v>
      </c>
      <c r="AZ13" s="20">
        <f>'CAM-Mar2025'!C11</f>
        <v>34898</v>
      </c>
      <c r="BA13" s="20">
        <f>'CAM-Mar2025'!G11</f>
        <v>0</v>
      </c>
      <c r="BB13" s="20">
        <f>'CAM-Mar2025'!H11</f>
        <v>34898</v>
      </c>
      <c r="BC13" s="20">
        <f>'CAM-Apr2025'!C11</f>
        <v>36970</v>
      </c>
      <c r="BD13" s="20">
        <f>'CAM-Apr2025'!G11</f>
        <v>0</v>
      </c>
      <c r="BE13" s="20">
        <f>'CAM-Apr2025'!H11</f>
        <v>36970</v>
      </c>
      <c r="BF13" s="20">
        <f>'CAM-May2025'!C11</f>
        <v>41110</v>
      </c>
      <c r="BG13" s="20">
        <f>'CAM-May2025'!G11</f>
        <v>0</v>
      </c>
      <c r="BH13" s="20">
        <f>'CAM-May2025'!H11</f>
        <v>41110</v>
      </c>
      <c r="BI13" s="20">
        <f>'CAM-Jun2025'!C11</f>
        <v>36970</v>
      </c>
      <c r="BJ13" s="20">
        <f>'CAM-Jun2025'!G11</f>
        <v>0</v>
      </c>
      <c r="BK13" s="20">
        <f>'CAM-Jun2025'!H11</f>
        <v>36970</v>
      </c>
      <c r="BL13" s="20">
        <f>'CAM-Jul2025'!C11</f>
        <v>39169</v>
      </c>
      <c r="BM13" s="20">
        <f>'CAM-Jul2025'!G11</f>
        <v>0</v>
      </c>
      <c r="BN13" s="20">
        <f>'CAM-Jul2025'!H11</f>
        <v>39169</v>
      </c>
      <c r="BO13" s="20">
        <f>'CAM-Aug2025'!C11</f>
        <v>34750</v>
      </c>
      <c r="BP13" s="20">
        <f>'CAM-Aug2025'!G11</f>
        <v>0</v>
      </c>
      <c r="BQ13" s="20">
        <f>'CAM-Aug2025'!H11</f>
        <v>34750</v>
      </c>
      <c r="BR13" s="20">
        <f>'CAM-Sep2025'!C11</f>
        <v>39195</v>
      </c>
      <c r="BS13" s="20">
        <f>'CAM-Sep2025'!G11</f>
        <v>0</v>
      </c>
      <c r="BT13" s="20">
        <f>'CAM-Sep2025'!H11</f>
        <v>39195</v>
      </c>
      <c r="BU13" s="20">
        <f>'CAM-Oct2025'!C11</f>
        <v>39195</v>
      </c>
      <c r="BV13" s="20">
        <f>'CAM-Oct2025'!G11</f>
        <v>0</v>
      </c>
      <c r="BW13" s="20">
        <f>'CAM-Oct2025'!H11</f>
        <v>39195</v>
      </c>
      <c r="BX13" s="20">
        <f>'CAM-Nov2025'!C11</f>
        <v>40490</v>
      </c>
      <c r="BY13" s="20">
        <f>'CAM-Nov2025'!G11</f>
        <v>0</v>
      </c>
      <c r="BZ13" s="20">
        <f>'CAM-Nov2025'!H11</f>
        <v>40490</v>
      </c>
    </row>
    <row r="14" spans="1:78" ht="18" customHeight="1" x14ac:dyDescent="0.25">
      <c r="A14" s="17">
        <v>7</v>
      </c>
      <c r="B14" s="22" t="s">
        <v>44</v>
      </c>
      <c r="C14" s="19">
        <f>'CAM-Jun`23'!C11</f>
        <v>0</v>
      </c>
      <c r="D14" s="20">
        <f>'CAM-Jul`23'!C11</f>
        <v>0</v>
      </c>
      <c r="E14" s="20">
        <f>'CAM-Aug`23'!C11</f>
        <v>10917</v>
      </c>
      <c r="F14" s="20">
        <f>'CAM-Sep`23'!C11</f>
        <v>0</v>
      </c>
      <c r="G14" s="20">
        <f>'CAM-Oct`23'!C11</f>
        <v>12164</v>
      </c>
      <c r="H14" s="20">
        <f>'CAM-Nov`23'!C11</f>
        <v>24951</v>
      </c>
      <c r="I14" s="20">
        <f>'CAM-Dec`23'!C11</f>
        <v>52361</v>
      </c>
      <c r="J14" s="20">
        <f>'CAM-Jan`24'!C11</f>
        <v>0</v>
      </c>
      <c r="K14" s="20">
        <f>'CAM-Jan`24'!G11</f>
        <v>0</v>
      </c>
      <c r="L14" s="20">
        <f>'CAM-Jan`24'!H11</f>
        <v>0</v>
      </c>
      <c r="M14" s="20">
        <f>'CAM-Feb`24'!C11</f>
        <v>22313</v>
      </c>
      <c r="N14" s="20">
        <f>'CAM-Feb`24'!G11</f>
        <v>5209.9293338120624</v>
      </c>
      <c r="O14" s="20">
        <f>'CAM-Feb`24'!H11</f>
        <v>17103.070666187938</v>
      </c>
      <c r="P14" s="20">
        <f>'CAM-Mar`24'!C12</f>
        <v>0</v>
      </c>
      <c r="Q14" s="20">
        <f>'CAM-Mar`24'!G12</f>
        <v>0</v>
      </c>
      <c r="R14" s="20">
        <f>'CAM-Mar`24'!H12</f>
        <v>0</v>
      </c>
      <c r="S14" s="20">
        <f>'CAM-Apr`24'!C12</f>
        <v>0</v>
      </c>
      <c r="T14" s="20">
        <f>'CAM-Apr`24'!G12</f>
        <v>0</v>
      </c>
      <c r="U14" s="20">
        <f>'CAM-Apr`24'!H12</f>
        <v>0</v>
      </c>
      <c r="V14" s="20">
        <f>'CAM-May`24'!C12</f>
        <v>0</v>
      </c>
      <c r="W14" s="21">
        <f>'CAM-May`24'!G12</f>
        <v>0</v>
      </c>
      <c r="X14" s="20">
        <f>'CAM-May`24'!H12</f>
        <v>0</v>
      </c>
      <c r="Y14" s="20">
        <f>'CAM-Jun`24'!C12</f>
        <v>1357</v>
      </c>
      <c r="Z14" s="21">
        <f>'CAM-Jun`24'!G12</f>
        <v>316.8500025089844</v>
      </c>
      <c r="AA14" s="20">
        <f>'CAM-Jun`24'!H12</f>
        <v>1040.1499974910157</v>
      </c>
      <c r="AB14" s="20">
        <f>'CAM-Jul`24'!C12</f>
        <v>0</v>
      </c>
      <c r="AC14" s="20">
        <f>'CAM-Jul`24'!G12</f>
        <v>0</v>
      </c>
      <c r="AD14" s="20">
        <f>'CAM-Jul`24'!H12</f>
        <v>0</v>
      </c>
      <c r="AE14" s="20">
        <f>'CAM-Aug`24'!C12</f>
        <v>76819</v>
      </c>
      <c r="AF14" s="20">
        <f>'CAM-Aug`24'!G12</f>
        <v>17936.698852422753</v>
      </c>
      <c r="AG14" s="20">
        <f>'CAM-Aug`24'!H12</f>
        <v>58882.301147577251</v>
      </c>
      <c r="AH14" s="20">
        <f>'CAM-Sep`24'!C12</f>
        <v>0</v>
      </c>
      <c r="AI14" s="20">
        <f>'CAM-Sep`24'!G12</f>
        <v>0</v>
      </c>
      <c r="AJ14" s="20">
        <f>'CAM-Sep`24'!H12</f>
        <v>0</v>
      </c>
      <c r="AK14" s="20">
        <f>'CAM-Oct`24'!C12</f>
        <v>40138</v>
      </c>
      <c r="AL14" s="20">
        <f>'CAM-Oct`24'!G12</f>
        <v>9371.9420786334686</v>
      </c>
      <c r="AM14" s="20">
        <f>'CAM-Oct`24'!H12</f>
        <v>30766.057921366533</v>
      </c>
      <c r="AN14" s="20">
        <f>'CAM-Nov`24'!C12</f>
        <v>57124</v>
      </c>
      <c r="AO14" s="20">
        <f>'CAM-Nov`24'!G12</f>
        <v>13338.054195521905</v>
      </c>
      <c r="AP14" s="20">
        <f>'CAM-Nov`24'!H12</f>
        <v>43785.945804478091</v>
      </c>
      <c r="AQ14" s="20">
        <f>'CAM-Dec2024'!C12</f>
        <v>11818</v>
      </c>
      <c r="AR14" s="20">
        <f>'CAM-Dec2024'!G12</f>
        <v>2759.4202871416196</v>
      </c>
      <c r="AS14" s="20">
        <f>'CAM-Dec2024'!H12</f>
        <v>9058.5797128583799</v>
      </c>
      <c r="AT14" s="20">
        <f>'CAM-Jan2025'!C12</f>
        <v>95212</v>
      </c>
      <c r="AU14" s="20">
        <f>'CAM-Jan2025'!G12</f>
        <v>22231.335621875769</v>
      </c>
      <c r="AV14" s="20">
        <f>'CAM-Jan2025'!H12</f>
        <v>72980.664378124231</v>
      </c>
      <c r="AW14" s="20">
        <f>'CAM-Feb2025'!C12</f>
        <v>85319.08</v>
      </c>
      <c r="AX14" s="20">
        <f>'CAM-Feb2025'!G12</f>
        <v>19921.408041314844</v>
      </c>
      <c r="AY14" s="20">
        <f>'CAM-Feb2025'!H12</f>
        <v>65397.671958685154</v>
      </c>
      <c r="AZ14" s="20">
        <f>'CAM-Mar2025'!C12</f>
        <v>250985</v>
      </c>
      <c r="BA14" s="20">
        <f>'CAM-Mar2025'!G12</f>
        <v>58603.240884095394</v>
      </c>
      <c r="BB14" s="20">
        <f>'CAM-Mar2025'!H12</f>
        <v>192381.7591159046</v>
      </c>
      <c r="BC14" s="20">
        <f>'CAM-Apr2025'!C12</f>
        <v>0</v>
      </c>
      <c r="BD14" s="20">
        <f>'CAM-Apr2025'!G12</f>
        <v>0</v>
      </c>
      <c r="BE14" s="20">
        <f>'CAM-Apr2025'!H12</f>
        <v>0</v>
      </c>
      <c r="BF14" s="20">
        <f>'CAM-May2025'!C12</f>
        <v>0</v>
      </c>
      <c r="BG14" s="20">
        <f>'CAM-May2025'!G12</f>
        <v>0</v>
      </c>
      <c r="BH14" s="20">
        <f>'CAM-May2025'!H12</f>
        <v>0</v>
      </c>
      <c r="BI14" s="20">
        <f>'CAM-Jun2025'!C12</f>
        <v>2055</v>
      </c>
      <c r="BJ14" s="20">
        <f>'CAM-Jun2025'!G12</f>
        <v>479.82811728516054</v>
      </c>
      <c r="BK14" s="20">
        <f>'CAM-Jun2025'!H12</f>
        <v>1575.1718827148395</v>
      </c>
      <c r="BL14" s="20">
        <f>'CAM-Jul2025'!C12</f>
        <v>0</v>
      </c>
      <c r="BM14" s="20">
        <f>'CAM-Jul2025'!G12</f>
        <v>0</v>
      </c>
      <c r="BN14" s="20">
        <f>'CAM-Jul2025'!H12</f>
        <v>0</v>
      </c>
      <c r="BO14" s="20">
        <f>'CAM-Aug2025'!C12</f>
        <v>182353</v>
      </c>
      <c r="BP14" s="20">
        <f>'CAM-Aug2025'!G12</f>
        <v>42578.149231776595</v>
      </c>
      <c r="BQ14" s="20">
        <f>'CAM-Aug2025'!H12</f>
        <v>139774.8507682234</v>
      </c>
      <c r="BR14" s="20">
        <f>'CAM-Sep2025'!C12</f>
        <v>0</v>
      </c>
      <c r="BS14" s="20">
        <f>'CAM-Sep2025'!G12</f>
        <v>0</v>
      </c>
      <c r="BT14" s="20">
        <f>'CAM-Sep2025'!H12</f>
        <v>0</v>
      </c>
      <c r="BU14" s="20">
        <f>'CAM-Oct2025'!C12</f>
        <v>0</v>
      </c>
      <c r="BV14" s="20">
        <f>'CAM-Oct2025'!G12</f>
        <v>0</v>
      </c>
      <c r="BW14" s="20">
        <f>'CAM-Oct2025'!H12</f>
        <v>0</v>
      </c>
      <c r="BX14" s="20">
        <f>'CAM-Nov2025'!C12</f>
        <v>92619</v>
      </c>
      <c r="BY14" s="20">
        <f>'CAM-Nov2025'!G12</f>
        <v>21625.888269992356</v>
      </c>
      <c r="BZ14" s="20">
        <f>'CAM-Nov2025'!H12</f>
        <v>70993.111730007644</v>
      </c>
    </row>
    <row r="15" spans="1:78" ht="18" customHeight="1" x14ac:dyDescent="0.25">
      <c r="A15" s="17">
        <v>8</v>
      </c>
      <c r="B15" s="18" t="s">
        <v>45</v>
      </c>
      <c r="C15" s="19"/>
      <c r="D15" s="20"/>
      <c r="E15" s="20"/>
      <c r="F15" s="20"/>
      <c r="G15" s="20"/>
      <c r="H15" s="20"/>
      <c r="I15" s="20"/>
      <c r="J15" s="20"/>
      <c r="K15" s="20">
        <f>'CAM-Jan`24'!G12</f>
        <v>0</v>
      </c>
      <c r="L15" s="20">
        <f>'CAM-Jan`24'!H12</f>
        <v>0</v>
      </c>
      <c r="M15" s="20">
        <f>'CAM-Feb`24'!C12</f>
        <v>0</v>
      </c>
      <c r="N15" s="20">
        <f>'CAM-Feb`24'!G12</f>
        <v>0</v>
      </c>
      <c r="O15" s="20">
        <f>'CAM-Feb`24'!H12</f>
        <v>0</v>
      </c>
      <c r="P15" s="20">
        <f>'CAM-Mar`24'!C13</f>
        <v>0</v>
      </c>
      <c r="Q15" s="20">
        <f>'CAM-Mar`24'!G13</f>
        <v>0</v>
      </c>
      <c r="R15" s="20">
        <f>'CAM-Mar`24'!H13</f>
        <v>0</v>
      </c>
      <c r="S15" s="20">
        <f>'CAM-Apr`24'!C13</f>
        <v>0</v>
      </c>
      <c r="T15" s="20">
        <f>'CAM-Apr`24'!G13</f>
        <v>0</v>
      </c>
      <c r="U15" s="20">
        <f>'CAM-Apr`24'!H13</f>
        <v>0</v>
      </c>
      <c r="V15" s="20">
        <f>'CAM-May`24'!C13</f>
        <v>0</v>
      </c>
      <c r="W15" s="21">
        <f>'CAM-May`24'!G13</f>
        <v>0</v>
      </c>
      <c r="X15" s="20">
        <f>'CAM-May`24'!H13</f>
        <v>0</v>
      </c>
      <c r="Y15" s="20">
        <f>'CAM-Jun`24'!C13</f>
        <v>0</v>
      </c>
      <c r="Z15" s="21">
        <f>'CAM-Jun`24'!G13</f>
        <v>0</v>
      </c>
      <c r="AA15" s="20">
        <f>'CAM-Jun`24'!H13</f>
        <v>0</v>
      </c>
      <c r="AB15" s="20">
        <f>'CAM-Jul`24'!C13</f>
        <v>227385</v>
      </c>
      <c r="AC15" s="20">
        <f>'CAM-Jul`24'!G13</f>
        <v>0</v>
      </c>
      <c r="AD15" s="20">
        <f>'CAM-Jul`24'!H13</f>
        <v>227385</v>
      </c>
      <c r="AE15" s="20">
        <f>'CAM-Aug`24'!C13</f>
        <v>0</v>
      </c>
      <c r="AF15" s="20">
        <f>'CAM-Aug`24'!G13</f>
        <v>0</v>
      </c>
      <c r="AG15" s="20">
        <f>'CAM-Aug`24'!H13</f>
        <v>0</v>
      </c>
      <c r="AH15" s="20">
        <f>'CAM-Sep`24'!C13</f>
        <v>0</v>
      </c>
      <c r="AI15" s="20">
        <f>'CAM-Sep`24'!G13</f>
        <v>0</v>
      </c>
      <c r="AJ15" s="20">
        <f>'CAM-Sep`24'!H13</f>
        <v>0</v>
      </c>
      <c r="AK15" s="20">
        <f>'CAM-Oct`24'!C13</f>
        <v>17600</v>
      </c>
      <c r="AL15" s="20">
        <f>'CAM-Oct`24'!G13</f>
        <v>0</v>
      </c>
      <c r="AM15" s="20">
        <f>'CAM-Oct`24'!H13</f>
        <v>17600</v>
      </c>
      <c r="AN15" s="20">
        <f>'CAM-Nov`24'!C13</f>
        <v>400425</v>
      </c>
      <c r="AO15" s="20">
        <f>'CAM-Nov`24'!G13</f>
        <v>0</v>
      </c>
      <c r="AP15" s="20">
        <f>'CAM-Nov`24'!H13</f>
        <v>400425</v>
      </c>
      <c r="AQ15" s="20">
        <f>'CAM-Dec2024'!C13</f>
        <v>146926</v>
      </c>
      <c r="AR15" s="20">
        <f>'CAM-Dec2024'!G13</f>
        <v>0</v>
      </c>
      <c r="AS15" s="20">
        <f>'CAM-Dec2024'!H13</f>
        <v>146926</v>
      </c>
      <c r="AT15" s="20">
        <f>'CAM-Jan2025'!C13</f>
        <v>0</v>
      </c>
      <c r="AU15" s="20">
        <f>'CAM-Jan2025'!G13</f>
        <v>0</v>
      </c>
      <c r="AV15" s="20">
        <f>'CAM-Jan2025'!H13</f>
        <v>0</v>
      </c>
      <c r="AW15" s="20">
        <f>'CAM-Feb2025'!C13</f>
        <v>0</v>
      </c>
      <c r="AX15" s="20">
        <f>'CAM-Feb2025'!G13</f>
        <v>0</v>
      </c>
      <c r="AY15" s="20">
        <f>'CAM-Feb2025'!H13</f>
        <v>0</v>
      </c>
      <c r="AZ15" s="20">
        <f>'CAM-Mar2025'!C13</f>
        <v>0</v>
      </c>
      <c r="BA15" s="20">
        <f>'CAM-Mar2025'!G13</f>
        <v>0</v>
      </c>
      <c r="BB15" s="20">
        <f>'CAM-Mar2025'!H13</f>
        <v>0</v>
      </c>
      <c r="BC15" s="20">
        <f>'CAM-Apr2025'!C13</f>
        <v>0</v>
      </c>
      <c r="BD15" s="20">
        <f>'CAM-Apr2025'!G13</f>
        <v>0</v>
      </c>
      <c r="BE15" s="20">
        <f>'CAM-Apr2025'!H13</f>
        <v>0</v>
      </c>
      <c r="BF15" s="20">
        <f>'CAM-May2025'!C13</f>
        <v>0</v>
      </c>
      <c r="BG15" s="20">
        <f>'CAM-May2025'!G13</f>
        <v>0</v>
      </c>
      <c r="BH15" s="20">
        <f>'CAM-May2025'!H13</f>
        <v>0</v>
      </c>
      <c r="BI15" s="20">
        <f>'CAM-Jun2025'!C13</f>
        <v>0</v>
      </c>
      <c r="BJ15" s="20">
        <f>'CAM-Jun2025'!G13</f>
        <v>0</v>
      </c>
      <c r="BK15" s="20">
        <f>'CAM-Jun2025'!H13</f>
        <v>0</v>
      </c>
      <c r="BL15" s="20">
        <f>'CAM-Jul2025'!C13</f>
        <v>0</v>
      </c>
      <c r="BM15" s="20">
        <f>'CAM-Jul2025'!G13</f>
        <v>0</v>
      </c>
      <c r="BN15" s="20">
        <f>'CAM-Jul2025'!H13</f>
        <v>0</v>
      </c>
      <c r="BO15" s="20">
        <f>'CAM-Aug2025'!C13</f>
        <v>0</v>
      </c>
      <c r="BP15" s="20">
        <f>'CAM-Aug2025'!G13</f>
        <v>0</v>
      </c>
      <c r="BQ15" s="20">
        <f>'CAM-Aug2025'!H13</f>
        <v>0</v>
      </c>
      <c r="BR15" s="20">
        <f>'CAM-Sep2025'!C13</f>
        <v>0</v>
      </c>
      <c r="BS15" s="20">
        <f>'CAM-Sep2025'!G13</f>
        <v>0</v>
      </c>
      <c r="BT15" s="20">
        <f>'CAM-Sep2025'!H13</f>
        <v>0</v>
      </c>
      <c r="BU15" s="20">
        <f>'CAM-Oct2025'!C13</f>
        <v>0</v>
      </c>
      <c r="BV15" s="20">
        <f>'CAM-Oct2025'!G13</f>
        <v>0</v>
      </c>
      <c r="BW15" s="20">
        <f>'CAM-Oct2025'!H13</f>
        <v>0</v>
      </c>
      <c r="BX15" s="20">
        <f>'CAM-Nov2025'!C13</f>
        <v>0</v>
      </c>
      <c r="BY15" s="20">
        <f>'CAM-Nov2025'!G13</f>
        <v>0</v>
      </c>
      <c r="BZ15" s="20">
        <f>'CAM-Nov2025'!H13</f>
        <v>0</v>
      </c>
    </row>
    <row r="16" spans="1:78" ht="18" customHeight="1" x14ac:dyDescent="0.25">
      <c r="A16" s="17">
        <v>9</v>
      </c>
      <c r="B16" s="18" t="s">
        <v>46</v>
      </c>
      <c r="C16" s="19">
        <f>'CAM-Jun`23'!C12</f>
        <v>0</v>
      </c>
      <c r="D16" s="20">
        <f>'CAM-Jul`23'!C12</f>
        <v>178245.60200000001</v>
      </c>
      <c r="E16" s="20">
        <f>'CAM-Aug`23'!C12</f>
        <v>168132.03</v>
      </c>
      <c r="F16" s="20">
        <f>'CAM-Sep`23'!C12</f>
        <v>284860.14</v>
      </c>
      <c r="G16" s="20">
        <f>'CAM-Oct`23'!C12</f>
        <v>526913.85</v>
      </c>
      <c r="H16" s="20">
        <f>'CAM-Nov`23'!C12</f>
        <v>789696.42341472174</v>
      </c>
      <c r="I16" s="20">
        <f>'CAM-Dec`23'!C12</f>
        <v>861105.06532291078</v>
      </c>
      <c r="J16" s="20">
        <f>'CAM-Jan`24'!C13</f>
        <v>1057296.1165172444</v>
      </c>
      <c r="K16" s="20">
        <f>'CAM-Jan`24'!G13</f>
        <v>117026.90926813682</v>
      </c>
      <c r="L16" s="20">
        <f>'CAM-Jan`24'!H13</f>
        <v>940269.20724910754</v>
      </c>
      <c r="M16" s="20">
        <f>'CAM-Feb`24'!C13</f>
        <v>711634.4017341421</v>
      </c>
      <c r="N16" s="20">
        <f>'CAM-Feb`24'!G13</f>
        <v>78767.313397644524</v>
      </c>
      <c r="O16" s="20">
        <f>'CAM-Feb`24'!H13</f>
        <v>632867.08833649755</v>
      </c>
      <c r="P16" s="20">
        <f>'CAM-Mar`24'!C14</f>
        <v>717978.53143450792</v>
      </c>
      <c r="Q16" s="20">
        <f>'CAM-Mar`24'!G14</f>
        <v>79469.513925227657</v>
      </c>
      <c r="R16" s="20">
        <f>'CAM-Mar`24'!H14</f>
        <v>638509.01750928024</v>
      </c>
      <c r="S16" s="20">
        <f>'CAM-Apr`24'!C14</f>
        <v>851696.18251347495</v>
      </c>
      <c r="T16" s="20">
        <f>'CAM-Apr`24'!G14</f>
        <v>94270.063341708388</v>
      </c>
      <c r="U16" s="20">
        <f>'CAM-Apr`24'!H14</f>
        <v>757426.11917176656</v>
      </c>
      <c r="V16" s="20">
        <f>'CAM-May`24'!C14</f>
        <v>1003806.960203898</v>
      </c>
      <c r="W16" s="21">
        <f>'CAM-May`24'!G14</f>
        <v>111106.4575186963</v>
      </c>
      <c r="X16" s="20">
        <f>'CAM-May`24'!H14</f>
        <v>892700.5026852017</v>
      </c>
      <c r="Y16" s="20">
        <f>'CAM-Jun`24'!C14</f>
        <v>871712.07132159197</v>
      </c>
      <c r="Z16" s="21">
        <f>'CAM-Jun`24'!G14</f>
        <v>96485.523671955831</v>
      </c>
      <c r="AA16" s="20">
        <f>'CAM-Jun`24'!H14</f>
        <v>775226.54764963617</v>
      </c>
      <c r="AB16" s="20">
        <f>'CAM-Jul`24'!C14</f>
        <v>513702.20422110718</v>
      </c>
      <c r="AC16" s="20">
        <f>'CAM-Jul`24'!G14</f>
        <v>56859.171527321974</v>
      </c>
      <c r="AD16" s="20">
        <f>'CAM-Jul`24'!H14</f>
        <v>456843.03269378521</v>
      </c>
      <c r="AE16" s="20">
        <f>'CAM-Aug`24'!C14</f>
        <v>473811.30515822402</v>
      </c>
      <c r="AF16" s="20">
        <f>'CAM-Aug`24'!G14</f>
        <v>52443.844021311706</v>
      </c>
      <c r="AG16" s="20">
        <f>'CAM-Aug`24'!H14</f>
        <v>421367.46113691229</v>
      </c>
      <c r="AH16" s="20">
        <f>'CAM-Sep`24'!C14</f>
        <v>626737.19881121011</v>
      </c>
      <c r="AI16" s="20">
        <f>'CAM-Sep`24'!G14</f>
        <v>69370.459376930346</v>
      </c>
      <c r="AJ16" s="20">
        <f>'CAM-Sep`24'!H14</f>
        <v>557366.73943427973</v>
      </c>
      <c r="AK16" s="20">
        <f>'CAM-Oct`24'!C14</f>
        <v>689066.2273949259</v>
      </c>
      <c r="AL16" s="20">
        <f>'CAM-Oct`24'!G14</f>
        <v>76269.353129481678</v>
      </c>
      <c r="AM16" s="20">
        <f>'CAM-Oct`24'!H14</f>
        <v>612796.87426544423</v>
      </c>
      <c r="AN16" s="20">
        <f>'CAM-Nov`24'!C14</f>
        <v>624688</v>
      </c>
      <c r="AO16" s="20">
        <f>'CAM-Nov`24'!G14</f>
        <v>69143.643634769294</v>
      </c>
      <c r="AP16" s="20">
        <f>'CAM-Nov`24'!H14</f>
        <v>555544.35636523075</v>
      </c>
      <c r="AQ16" s="20">
        <f>'CAM-Dec2024'!C14</f>
        <v>715350</v>
      </c>
      <c r="AR16" s="20">
        <f>'CAM-Dec2024'!G14</f>
        <v>79178.574703103324</v>
      </c>
      <c r="AS16" s="20">
        <f>'CAM-Dec2024'!H14</f>
        <v>636171.42529689672</v>
      </c>
      <c r="AT16" s="20">
        <f>'CAM-Jan2025'!C14</f>
        <v>686502</v>
      </c>
      <c r="AU16" s="20">
        <f>'CAM-Jan2025'!G14</f>
        <v>75985.531405367772</v>
      </c>
      <c r="AV16" s="20">
        <f>'CAM-Jan2025'!H14</f>
        <v>610516.46859463223</v>
      </c>
      <c r="AW16" s="20">
        <f>'CAM-Feb2025'!C14</f>
        <v>672812</v>
      </c>
      <c r="AX16" s="20">
        <f>'CAM-Feb2025'!G14</f>
        <v>74470.252608016162</v>
      </c>
      <c r="AY16" s="20">
        <f>'CAM-Feb2025'!H14</f>
        <v>598341.74739198387</v>
      </c>
      <c r="AZ16" s="20">
        <f>'CAM-Mar2025'!C14</f>
        <v>703950</v>
      </c>
      <c r="BA16" s="20">
        <f>'CAM-Mar2025'!G14</f>
        <v>77916.764747675377</v>
      </c>
      <c r="BB16" s="20">
        <f>'CAM-Mar2025'!H14</f>
        <v>626033.23525232461</v>
      </c>
      <c r="BC16" s="23">
        <f>'CAM-Apr2025'!C14</f>
        <v>1030521.1604511261</v>
      </c>
      <c r="BD16" s="20">
        <f>'CAM-Apr2025'!G14</f>
        <v>114063.32101196368</v>
      </c>
      <c r="BE16" s="20">
        <f>'CAM-Apr2025'!H14</f>
        <v>916457.8394391624</v>
      </c>
      <c r="BF16" s="23">
        <f>'CAM-May2025'!C14</f>
        <v>1355682.9496531715</v>
      </c>
      <c r="BG16" s="20">
        <f>'CAM-May2025'!G14</f>
        <v>150053.88090142881</v>
      </c>
      <c r="BH16" s="20">
        <f>'CAM-May2025'!H14</f>
        <v>1205629.0687517426</v>
      </c>
      <c r="BI16" s="23">
        <f>'CAM-Jun2025'!C14</f>
        <v>1063539.4755004293</v>
      </c>
      <c r="BJ16" s="20">
        <f>'CAM-Jun2025'!G14</f>
        <v>117717.95598044324</v>
      </c>
      <c r="BK16" s="20">
        <f>'CAM-Jun2025'!H14</f>
        <v>945821.519519986</v>
      </c>
      <c r="BL16" s="23">
        <f>'CAM-Jul2025'!C14</f>
        <v>1117852.3438433991</v>
      </c>
      <c r="BM16" s="20">
        <f>'CAM-Jul2025'!G14</f>
        <v>123729.58036491748</v>
      </c>
      <c r="BN16" s="20">
        <f>'CAM-Jul2025'!H14</f>
        <v>994122.76347848156</v>
      </c>
      <c r="BO16" s="23">
        <f>'CAM-Aug2025'!C14</f>
        <v>1076658.6399999999</v>
      </c>
      <c r="BP16" s="20">
        <f>'CAM-Aug2025'!G14</f>
        <v>119170.05180258841</v>
      </c>
      <c r="BQ16" s="20">
        <f>'CAM-Aug2025'!H14</f>
        <v>957488.5881974115</v>
      </c>
      <c r="BR16" s="23">
        <f>'CAM-Sep2025'!C14</f>
        <v>1020375.6540427811</v>
      </c>
      <c r="BS16" s="20">
        <f>'CAM-Sep2025'!G14</f>
        <v>112940.36478486651</v>
      </c>
      <c r="BT16" s="20">
        <f>'CAM-Sep2025'!H14</f>
        <v>907435.28925791453</v>
      </c>
      <c r="BU16" s="20">
        <f>'CAM-Oct2025'!C14</f>
        <v>1011739.4537015317</v>
      </c>
      <c r="BV16" s="20">
        <f>'CAM-Oct2025'!G14</f>
        <v>111984.46622629996</v>
      </c>
      <c r="BW16" s="20">
        <f>'CAM-Oct2025'!H14</f>
        <v>899754.98747523176</v>
      </c>
      <c r="BX16" s="20">
        <f>'CAM-Nov2025'!C14</f>
        <v>1159983.922497788</v>
      </c>
      <c r="BY16" s="20">
        <f>'CAM-Nov2025'!G14</f>
        <v>128392.91767930373</v>
      </c>
      <c r="BZ16" s="20">
        <f>'CAM-Nov2025'!H14</f>
        <v>1031591.0048184842</v>
      </c>
    </row>
    <row r="17" spans="1:78" ht="18" customHeight="1" x14ac:dyDescent="0.25">
      <c r="A17" s="17">
        <v>10</v>
      </c>
      <c r="B17" s="18" t="s">
        <v>47</v>
      </c>
      <c r="C17" s="19">
        <f>'CAM-Jun`23'!C13+'CAM-Jun`23'!C14</f>
        <v>57300</v>
      </c>
      <c r="D17" s="20">
        <f>'CAM-Jul`23'!C13+'CAM-Jul`23'!C14</f>
        <v>37600</v>
      </c>
      <c r="E17" s="20">
        <f>'CAM-Aug`23'!C13+'CAM-Aug`23'!C14</f>
        <v>45600</v>
      </c>
      <c r="F17" s="20">
        <f>'CAM-Sep`23'!C13+'CAM-Sep`23'!C14</f>
        <v>520150</v>
      </c>
      <c r="G17" s="20">
        <f>'CAM-Oct`23'!C13</f>
        <v>330345.91591478698</v>
      </c>
      <c r="H17" s="20">
        <f>'CAM-Nov`23'!C13+'CAM-Nov`23'!C14</f>
        <v>328579.17777104786</v>
      </c>
      <c r="I17" s="20">
        <f>'CAM-Dec`23'!C13</f>
        <v>259757.67033811475</v>
      </c>
      <c r="J17" s="20">
        <f>'CAM-Jan`24'!C14</f>
        <v>266239</v>
      </c>
      <c r="K17" s="20">
        <f>'CAM-Jan`24'!G14</f>
        <v>90900.662876541784</v>
      </c>
      <c r="L17" s="20">
        <f>'CAM-Jan`24'!H14</f>
        <v>175338.33712345824</v>
      </c>
      <c r="M17" s="20">
        <f>'CAM-Feb`24'!C14</f>
        <v>113524.20871056263</v>
      </c>
      <c r="N17" s="20">
        <f>'CAM-Feb`24'!G14</f>
        <v>38760.008204376594</v>
      </c>
      <c r="O17" s="20">
        <f>'CAM-Feb`24'!H14</f>
        <v>74764.200506186025</v>
      </c>
      <c r="P17" s="20">
        <f>'CAM-Mar`24'!C15</f>
        <v>162762.80314327453</v>
      </c>
      <c r="Q17" s="20">
        <f>'CAM-Mar`24'!G15</f>
        <v>55571.297583628737</v>
      </c>
      <c r="R17" s="20">
        <f>'CAM-Mar`24'!H15</f>
        <v>107191.5055596458</v>
      </c>
      <c r="S17" s="20">
        <f>'CAM-Apr`24'!C15</f>
        <v>33504.106617270911</v>
      </c>
      <c r="T17" s="20">
        <f>'CAM-Apr`24'!G15</f>
        <v>11439.141149855037</v>
      </c>
      <c r="U17" s="20">
        <f>'CAM-Apr`24'!H15</f>
        <v>22064.965467415874</v>
      </c>
      <c r="V17" s="20">
        <f>'CAM-May`24'!C15</f>
        <v>148083.11332807568</v>
      </c>
      <c r="W17" s="21">
        <f>'CAM-May`24'!G15</f>
        <v>50559.28381020113</v>
      </c>
      <c r="X17" s="20">
        <f>'CAM-May`24'!H15</f>
        <v>97523.829517874547</v>
      </c>
      <c r="Y17" s="20">
        <f>'CAM-Jun`24'!C15</f>
        <v>143709.15236265853</v>
      </c>
      <c r="Z17" s="21">
        <f>'CAM-Jun`24'!G15</f>
        <v>49065.903985485224</v>
      </c>
      <c r="AA17" s="20">
        <f>'CAM-Jun`24'!H15</f>
        <v>94643.248377173295</v>
      </c>
      <c r="AB17" s="20">
        <f>'CAM-Jul`24'!C15</f>
        <v>52054.886497555453</v>
      </c>
      <c r="AC17" s="20">
        <f>'CAM-Jul`24'!G15</f>
        <v>17772.842027617797</v>
      </c>
      <c r="AD17" s="20">
        <f>'CAM-Jul`24'!H15</f>
        <v>34282.044469937653</v>
      </c>
      <c r="AE17" s="20">
        <f>'CAM-Aug`24'!C15</f>
        <v>34080.308413812454</v>
      </c>
      <c r="AF17" s="20">
        <f>'CAM-Aug`24'!G15</f>
        <v>11635.870874862572</v>
      </c>
      <c r="AG17" s="20">
        <f>'CAM-Aug`24'!H15</f>
        <v>22444.437538949882</v>
      </c>
      <c r="AH17" s="20">
        <f>'CAM-Sep`24'!C15</f>
        <v>61593.640480100999</v>
      </c>
      <c r="AI17" s="20">
        <f>'CAM-Sep`24'!G15</f>
        <v>21029.611546845423</v>
      </c>
      <c r="AJ17" s="20">
        <f>'CAM-Sep`24'!H15</f>
        <v>40564.028933255577</v>
      </c>
      <c r="AK17" s="20">
        <f>'CAM-Oct`24'!C15</f>
        <v>68044.609739524007</v>
      </c>
      <c r="AL17" s="20">
        <f>'CAM-Oct`24'!G15</f>
        <v>23232.134024310199</v>
      </c>
      <c r="AM17" s="20">
        <f>'CAM-Oct`24'!H15</f>
        <v>44812.475715213805</v>
      </c>
      <c r="AN17" s="20">
        <f>'CAM-Nov`24'!C15</f>
        <v>0</v>
      </c>
      <c r="AO17" s="20">
        <f>'CAM-Nov`24'!G15</f>
        <v>0</v>
      </c>
      <c r="AP17" s="20">
        <f>'CAM-Nov`24'!H15</f>
        <v>0</v>
      </c>
      <c r="AQ17" s="20">
        <f>'CAM-Dec2024'!C15</f>
        <v>34200</v>
      </c>
      <c r="AR17" s="20">
        <f>'CAM-Dec2024'!G15</f>
        <v>11676.736580206989</v>
      </c>
      <c r="AS17" s="20">
        <f>'CAM-Dec2024'!H15</f>
        <v>22523.263419793009</v>
      </c>
      <c r="AT17" s="20">
        <f>'CAM-Jan2025'!C15</f>
        <v>34200</v>
      </c>
      <c r="AU17" s="20">
        <f>'CAM-Jan2025'!G15</f>
        <v>11676.736580206989</v>
      </c>
      <c r="AV17" s="20">
        <f>'CAM-Jan2025'!H15</f>
        <v>22523.263419793009</v>
      </c>
      <c r="AW17" s="20">
        <f>'CAM-Feb2025'!C15</f>
        <v>154331.45000000001</v>
      </c>
      <c r="AX17" s="20">
        <f>'CAM-Feb2025'!G15</f>
        <v>52692.622447116555</v>
      </c>
      <c r="AY17" s="20">
        <f>'CAM-Feb2025'!H15</f>
        <v>101638.82755288345</v>
      </c>
      <c r="AZ17" s="20">
        <f>'CAM-Mar2025'!C15</f>
        <v>188077.27</v>
      </c>
      <c r="BA17" s="20">
        <f>'CAM-Mar2025'!G15</f>
        <v>64214.290599838205</v>
      </c>
      <c r="BB17" s="20">
        <f>'CAM-Mar2025'!H15</f>
        <v>123862.97940016178</v>
      </c>
      <c r="BC17" s="20">
        <f>'CAM-Apr2025'!C15</f>
        <v>312510.87586160109</v>
      </c>
      <c r="BD17" s="20">
        <f>'CAM-Apr2025'!G15</f>
        <v>106699.04023057551</v>
      </c>
      <c r="BE17" s="20">
        <f>'CAM-Apr2025'!H15</f>
        <v>205811.83563102558</v>
      </c>
      <c r="BF17" s="20">
        <f>'CAM-May2025'!C15</f>
        <v>343334.05708333338</v>
      </c>
      <c r="BG17" s="20">
        <f>'CAM-May2025'!G15</f>
        <v>117222.84630338695</v>
      </c>
      <c r="BH17" s="20">
        <f>'CAM-May2025'!H15</f>
        <v>226111.21077994641</v>
      </c>
      <c r="BI17" s="20">
        <f>'CAM-Jun2025'!C15</f>
        <v>263062.96474070201</v>
      </c>
      <c r="BJ17" s="20">
        <f>'CAM-Jun2025'!G15</f>
        <v>89816.284891387622</v>
      </c>
      <c r="BK17" s="20">
        <f>'CAM-Jun2025'!H15</f>
        <v>173246.67984931439</v>
      </c>
      <c r="BL17" s="20">
        <f>'CAM-Jul2025'!C15</f>
        <v>241906.6</v>
      </c>
      <c r="BM17" s="20">
        <f>'CAM-Jul2025'!G15</f>
        <v>82592.972082266089</v>
      </c>
      <c r="BN17" s="20">
        <f>'CAM-Jul2025'!H15</f>
        <v>159313.62791773392</v>
      </c>
      <c r="BO17" s="20">
        <f>'CAM-Aug2025'!C15</f>
        <v>176530.46</v>
      </c>
      <c r="BP17" s="20">
        <f>'CAM-Aug2025'!G15</f>
        <v>60271.920462069196</v>
      </c>
      <c r="BQ17" s="20">
        <f>'CAM-Aug2025'!H15</f>
        <v>116258.5395379308</v>
      </c>
      <c r="BR17" s="20">
        <f>'CAM-Sep2025'!C15</f>
        <v>202787.54767080746</v>
      </c>
      <c r="BS17" s="20">
        <f>'CAM-Sep2025'!G15</f>
        <v>69236.7478332803</v>
      </c>
      <c r="BT17" s="20">
        <f>'CAM-Sep2025'!H15</f>
        <v>133550.79983752716</v>
      </c>
      <c r="BU17" s="20">
        <f>'CAM-Oct2025'!C15</f>
        <v>175440.28283761788</v>
      </c>
      <c r="BV17" s="20">
        <f>'CAM-Oct2025'!G15</f>
        <v>59899.706674031375</v>
      </c>
      <c r="BW17" s="20">
        <f>'CAM-Oct2025'!H15</f>
        <v>115540.57616358651</v>
      </c>
      <c r="BX17" s="20">
        <f>'CAM-Nov2025'!C15</f>
        <v>43988.83</v>
      </c>
      <c r="BY17" s="20">
        <f>'CAM-Nov2025'!G15</f>
        <v>15018.888315248734</v>
      </c>
      <c r="BZ17" s="20">
        <f>'CAM-Nov2025'!H15</f>
        <v>28969.941684751269</v>
      </c>
    </row>
    <row r="18" spans="1:78" ht="18" customHeight="1" x14ac:dyDescent="0.25">
      <c r="A18" s="17">
        <v>11</v>
      </c>
      <c r="B18" s="18" t="s">
        <v>48</v>
      </c>
      <c r="C18" s="19">
        <v>0</v>
      </c>
      <c r="D18" s="20">
        <v>0</v>
      </c>
      <c r="E18" s="20">
        <v>0</v>
      </c>
      <c r="F18" s="20">
        <v>0</v>
      </c>
      <c r="G18" s="20">
        <f>'CAM-Oct`23'!C14</f>
        <v>0</v>
      </c>
      <c r="H18" s="20">
        <v>0</v>
      </c>
      <c r="I18" s="20">
        <f>'CAM-Dec`23'!C14</f>
        <v>0</v>
      </c>
      <c r="J18" s="20">
        <f>'CAM-Jan`24'!C15</f>
        <v>0</v>
      </c>
      <c r="K18" s="20">
        <f>'CAM-Jan`24'!G15</f>
        <v>0</v>
      </c>
      <c r="L18" s="20">
        <f>'CAM-Jan`24'!H15</f>
        <v>0</v>
      </c>
      <c r="M18" s="20">
        <f>'CAM-Feb`24'!C15</f>
        <v>67711.796982167361</v>
      </c>
      <c r="N18" s="20">
        <f>'CAM-Feb`24'!G15</f>
        <v>0</v>
      </c>
      <c r="O18" s="20">
        <f>'CAM-Feb`24'!H15</f>
        <v>67711.796982167361</v>
      </c>
      <c r="P18" s="20">
        <f>'CAM-Mar`24'!C16</f>
        <v>74116.593567251461</v>
      </c>
      <c r="Q18" s="20">
        <f>'CAM-Mar`24'!G16</f>
        <v>0</v>
      </c>
      <c r="R18" s="20">
        <f>'CAM-Mar`24'!H16</f>
        <v>74116.593567251461</v>
      </c>
      <c r="S18" s="20">
        <f>'CAM-Apr`24'!C16</f>
        <v>88436.075625958096</v>
      </c>
      <c r="T18" s="20">
        <f>'CAM-Apr`24'!G16</f>
        <v>0</v>
      </c>
      <c r="U18" s="20">
        <f>'CAM-Apr`24'!H16</f>
        <v>88436.075625958096</v>
      </c>
      <c r="V18" s="20">
        <f>'CAM-May`24'!C16</f>
        <v>75471.352523659312</v>
      </c>
      <c r="W18" s="21">
        <f>'CAM-May`24'!G16</f>
        <v>0</v>
      </c>
      <c r="X18" s="20">
        <f>'CAM-May`24'!H16</f>
        <v>75471.352523659312</v>
      </c>
      <c r="Y18" s="20">
        <f>'CAM-Jun`24'!C16</f>
        <v>58457.529773338458</v>
      </c>
      <c r="Z18" s="21">
        <f>'CAM-Jun`24'!G16</f>
        <v>0</v>
      </c>
      <c r="AA18" s="20">
        <f>'CAM-Jun`24'!H16</f>
        <v>58457.529773338458</v>
      </c>
      <c r="AB18" s="20">
        <f>'CAM-Jul`24'!C16</f>
        <v>55572.86369193154</v>
      </c>
      <c r="AC18" s="20">
        <f>'CAM-Jul`24'!G16</f>
        <v>0</v>
      </c>
      <c r="AD18" s="20">
        <f>'CAM-Jul`24'!H16</f>
        <v>55572.86369193154</v>
      </c>
      <c r="AE18" s="20">
        <f>'CAM-Aug`24'!C16</f>
        <v>64304.065131948344</v>
      </c>
      <c r="AF18" s="20">
        <f>'CAM-Aug`24'!G16</f>
        <v>0</v>
      </c>
      <c r="AG18" s="20">
        <f>'CAM-Aug`24'!H16</f>
        <v>64304.065131948344</v>
      </c>
      <c r="AH18" s="20">
        <f>'CAM-Sep`24'!C16</f>
        <v>58043.79</v>
      </c>
      <c r="AI18" s="20">
        <f>'CAM-Sep`24'!G16</f>
        <v>0</v>
      </c>
      <c r="AJ18" s="20">
        <f>'CAM-Sep`24'!H16</f>
        <v>58043.79</v>
      </c>
      <c r="AK18" s="20">
        <f>'CAM-Oct`24'!C16</f>
        <v>61158.899999999994</v>
      </c>
      <c r="AL18" s="20">
        <f>'CAM-Oct`24'!G16</f>
        <v>0</v>
      </c>
      <c r="AM18" s="20">
        <f>'CAM-Oct`24'!H16</f>
        <v>61158.899999999994</v>
      </c>
      <c r="AN18" s="20">
        <f>'CAM-Nov`24'!C16</f>
        <v>84261.115297663899</v>
      </c>
      <c r="AO18" s="20">
        <f>'CAM-Nov`24'!G16</f>
        <v>0</v>
      </c>
      <c r="AP18" s="20">
        <f>'CAM-Nov`24'!H16</f>
        <v>84261.115297663899</v>
      </c>
      <c r="AQ18" s="20">
        <f>'CAM-Dec2024'!C16</f>
        <v>30788.550000000003</v>
      </c>
      <c r="AR18" s="20">
        <f>'CAM-Dec2024'!G16</f>
        <v>0</v>
      </c>
      <c r="AS18" s="20">
        <f>'CAM-Dec2024'!H16</f>
        <v>30788.550000000003</v>
      </c>
      <c r="AT18" s="20">
        <f>'CAM-Jan2025'!C16</f>
        <v>23946.65</v>
      </c>
      <c r="AU18" s="20">
        <f>'CAM-Jan2025'!G16</f>
        <v>0</v>
      </c>
      <c r="AV18" s="20">
        <f>'CAM-Jan2025'!H16</f>
        <v>23946.65</v>
      </c>
      <c r="AW18" s="20">
        <f>'CAM-Feb2025'!C16</f>
        <v>23946.65</v>
      </c>
      <c r="AX18" s="20">
        <f>'CAM-Feb2025'!G16</f>
        <v>0</v>
      </c>
      <c r="AY18" s="20">
        <f>'CAM-Feb2025'!H16</f>
        <v>23946.65</v>
      </c>
      <c r="AZ18" s="20">
        <f>'CAM-Mar2025'!C16</f>
        <v>23946.65</v>
      </c>
      <c r="BA18" s="20">
        <f>'CAM-Mar2025'!G16</f>
        <v>0</v>
      </c>
      <c r="BB18" s="20">
        <f>'CAM-Mar2025'!H16</f>
        <v>23946.65</v>
      </c>
      <c r="BC18" s="20">
        <f>'CAM-Apr2025'!C16</f>
        <v>103528.75</v>
      </c>
      <c r="BD18" s="20">
        <f>'CAM-Apr2025'!G16</f>
        <v>0</v>
      </c>
      <c r="BE18" s="20">
        <f>'CAM-Apr2025'!H16</f>
        <v>103528.75</v>
      </c>
      <c r="BF18" s="20">
        <f>'CAM-May2025'!C16</f>
        <v>73820.5</v>
      </c>
      <c r="BG18" s="20">
        <f>'CAM-May2025'!G16</f>
        <v>0</v>
      </c>
      <c r="BH18" s="20">
        <f>'CAM-May2025'!H16</f>
        <v>73820.5</v>
      </c>
      <c r="BI18" s="20">
        <f>'CAM-Jun2025'!C16</f>
        <v>92365.650000000009</v>
      </c>
      <c r="BJ18" s="20">
        <f>'CAM-Jun2025'!G16</f>
        <v>0</v>
      </c>
      <c r="BK18" s="20">
        <f>'CAM-Jun2025'!H16</f>
        <v>92365.650000000009</v>
      </c>
      <c r="BL18" s="20">
        <f>'CAM-Jul2025'!C16</f>
        <v>86784.1</v>
      </c>
      <c r="BM18" s="20">
        <f>'CAM-Jul2025'!G16</f>
        <v>0</v>
      </c>
      <c r="BN18" s="20">
        <f>'CAM-Jul2025'!H16</f>
        <v>86784.1</v>
      </c>
      <c r="BO18" s="20">
        <f>'CAM-Aug2025'!C16</f>
        <v>83183.100000000006</v>
      </c>
      <c r="BP18" s="20">
        <f>'CAM-Aug2025'!G16</f>
        <v>0</v>
      </c>
      <c r="BQ18" s="20">
        <f>'CAM-Aug2025'!H16</f>
        <v>83183.100000000006</v>
      </c>
      <c r="BR18" s="20">
        <f>'CAM-Sep2025'!C16</f>
        <v>82823</v>
      </c>
      <c r="BS18" s="20">
        <f>'CAM-Sep2025'!G16</f>
        <v>0</v>
      </c>
      <c r="BT18" s="20">
        <f>'CAM-Sep2025'!H16</f>
        <v>82823</v>
      </c>
      <c r="BU18" s="20">
        <f>'CAM-Oct2025'!C16</f>
        <v>78861.900000000009</v>
      </c>
      <c r="BV18" s="20">
        <f>'CAM-Oct2025'!G16</f>
        <v>0</v>
      </c>
      <c r="BW18" s="20">
        <f>'CAM-Oct2025'!H16</f>
        <v>78861.900000000009</v>
      </c>
      <c r="BX18" s="20">
        <f>'CAM-Nov2025'!C16</f>
        <v>85163.650000000009</v>
      </c>
      <c r="BY18" s="20">
        <f>'CAM-Nov2025'!G16</f>
        <v>0</v>
      </c>
      <c r="BZ18" s="20">
        <f>'CAM-Nov2025'!H16</f>
        <v>85163.650000000009</v>
      </c>
    </row>
    <row r="19" spans="1:78" ht="18" customHeight="1" x14ac:dyDescent="0.25">
      <c r="A19" s="17">
        <v>12</v>
      </c>
      <c r="B19" s="18" t="s">
        <v>49</v>
      </c>
      <c r="C19" s="19">
        <f>'CAM-Jun`23'!C15</f>
        <v>297146</v>
      </c>
      <c r="D19" s="20">
        <f>'CAM-Jul`23'!C15</f>
        <v>297146</v>
      </c>
      <c r="E19" s="20">
        <f>'CAM-Aug`23'!C15</f>
        <v>297146</v>
      </c>
      <c r="F19" s="20">
        <f>'CAM-Sep`23'!C15</f>
        <v>297146</v>
      </c>
      <c r="G19" s="20">
        <f>'CAM-Oct`23'!C15</f>
        <v>297146</v>
      </c>
      <c r="H19" s="20">
        <f>'CAM-Nov`23'!C15</f>
        <v>63596</v>
      </c>
      <c r="I19" s="20">
        <f>'CAM-Dec`23'!C15</f>
        <v>79603</v>
      </c>
      <c r="J19" s="20">
        <f>'CAM-Jan`24'!C16</f>
        <v>15769</v>
      </c>
      <c r="K19" s="20">
        <f>'CAM-Jan`24'!G16</f>
        <v>5383.9315536047961</v>
      </c>
      <c r="L19" s="20">
        <f>'CAM-Jan`24'!H16</f>
        <v>10385.068446395204</v>
      </c>
      <c r="M19" s="20">
        <f>'CAM-Feb`24'!C16</f>
        <v>115790</v>
      </c>
      <c r="N19" s="20">
        <f>'CAM-Feb`24'!G16</f>
        <v>39533.606100063371</v>
      </c>
      <c r="O19" s="20">
        <f>'CAM-Feb`24'!H16</f>
        <v>76256.393899936636</v>
      </c>
      <c r="P19" s="20">
        <f>'CAM-Mar`24'!C17</f>
        <v>0</v>
      </c>
      <c r="Q19" s="20">
        <f>'CAM-Mar`24'!G17</f>
        <v>0</v>
      </c>
      <c r="R19" s="20">
        <f>'CAM-Mar`24'!H17</f>
        <v>0</v>
      </c>
      <c r="S19" s="20">
        <f>'CAM-Apr`24'!C17</f>
        <v>12545</v>
      </c>
      <c r="T19" s="20">
        <f>'CAM-Apr`24'!G17</f>
        <v>4283.1772046402539</v>
      </c>
      <c r="U19" s="20">
        <f>'CAM-Apr`24'!H17</f>
        <v>8261.8227953597452</v>
      </c>
      <c r="V19" s="20">
        <f>'CAM-May`24'!C17</f>
        <v>118711.7</v>
      </c>
      <c r="W19" s="21">
        <f>'CAM-May`24'!G17</f>
        <v>40531.147657560177</v>
      </c>
      <c r="X19" s="20">
        <f>'CAM-May`24'!H17</f>
        <v>78180.552342439827</v>
      </c>
      <c r="Y19" s="20">
        <f>'CAM-Jun`24'!C17</f>
        <v>117371.7</v>
      </c>
      <c r="Z19" s="21">
        <f>'CAM-Jun`24'!G17</f>
        <v>40073.638095645634</v>
      </c>
      <c r="AA19" s="20">
        <f>'CAM-Jun`24'!H17</f>
        <v>77298.06190435437</v>
      </c>
      <c r="AB19" s="20">
        <f>'CAM-Jul`24'!C17</f>
        <v>127471.7</v>
      </c>
      <c r="AC19" s="20">
        <f>'CAM-Jul`24'!G17</f>
        <v>43522.031062314956</v>
      </c>
      <c r="AD19" s="20">
        <f>'CAM-Jul`24'!H17</f>
        <v>83949.668937685041</v>
      </c>
      <c r="AE19" s="20">
        <f>'CAM-Aug`24'!C17</f>
        <v>32117</v>
      </c>
      <c r="AF19" s="20">
        <f>'CAM-Aug`24'!G17</f>
        <v>10965.54820896222</v>
      </c>
      <c r="AG19" s="20">
        <f>'CAM-Aug`24'!H17</f>
        <v>21151.45179103778</v>
      </c>
      <c r="AH19" s="20">
        <f>'CAM-Sep`24'!C17</f>
        <v>135962</v>
      </c>
      <c r="AI19" s="20">
        <f>'CAM-Sep`24'!G17</f>
        <v>46420.832132108269</v>
      </c>
      <c r="AJ19" s="20">
        <f>'CAM-Sep`24'!H17</f>
        <v>89541.167867891723</v>
      </c>
      <c r="AK19" s="20">
        <f>'CAM-Oct`24'!C17</f>
        <v>270711</v>
      </c>
      <c r="AL19" s="20">
        <f>'CAM-Oct`24'!G17</f>
        <v>92427.515683170015</v>
      </c>
      <c r="AM19" s="20">
        <f>'CAM-Oct`24'!H17</f>
        <v>178283.48431683</v>
      </c>
      <c r="AN19" s="20">
        <f>'CAM-Nov`24'!C17</f>
        <v>171429</v>
      </c>
      <c r="AO19" s="20">
        <f>'CAM-Nov`24'!G17</f>
        <v>58530.154245856844</v>
      </c>
      <c r="AP19" s="20">
        <f>'CAM-Nov`24'!H17</f>
        <v>112898.84575414316</v>
      </c>
      <c r="AQ19" s="20">
        <f>'CAM-Dec2024'!C17</f>
        <v>101190</v>
      </c>
      <c r="AR19" s="20">
        <f>'CAM-Dec2024'!G17</f>
        <v>34548.800425472087</v>
      </c>
      <c r="AS19" s="20">
        <f>'CAM-Dec2024'!H17</f>
        <v>66641.199574527913</v>
      </c>
      <c r="AT19" s="20">
        <f>'CAM-Jan2025'!C17</f>
        <v>88012</v>
      </c>
      <c r="AU19" s="20">
        <f>'CAM-Jan2025'!G17</f>
        <v>0</v>
      </c>
      <c r="AV19" s="20">
        <f>'CAM-Jan2025'!H17</f>
        <v>88012</v>
      </c>
      <c r="AW19" s="20">
        <f>'CAM-Feb2025'!C17</f>
        <v>28236.32</v>
      </c>
      <c r="AX19" s="20">
        <f>'CAM-Feb2025'!G17</f>
        <v>0</v>
      </c>
      <c r="AY19" s="20">
        <f>'CAM-Feb2025'!H17</f>
        <v>28236.32</v>
      </c>
      <c r="AZ19" s="23">
        <f>'CAM-Mar2025'!C17</f>
        <v>237547.97</v>
      </c>
      <c r="BA19" s="20">
        <f>'CAM-Mar2025'!G17</f>
        <v>0</v>
      </c>
      <c r="BB19" s="20">
        <f>'CAM-Mar2025'!H17</f>
        <v>237547.97</v>
      </c>
      <c r="BC19" s="20">
        <f>'CAM-Apr2025'!C17</f>
        <v>414446</v>
      </c>
      <c r="BD19" s="20">
        <f>'CAM-Apr2025'!G17</f>
        <v>0</v>
      </c>
      <c r="BE19" s="20">
        <f>'CAM-Apr2025'!H17</f>
        <v>414446</v>
      </c>
      <c r="BF19" s="23">
        <f>'CAM-May2025'!C17</f>
        <v>264208</v>
      </c>
      <c r="BG19" s="20">
        <f>'CAM-May2025'!G17</f>
        <v>0</v>
      </c>
      <c r="BH19" s="20">
        <f>'CAM-May2025'!H17</f>
        <v>264208</v>
      </c>
      <c r="BI19" s="20">
        <f>'CAM-Jun2025'!C17</f>
        <v>263190</v>
      </c>
      <c r="BJ19" s="20">
        <f>'CAM-Jun2025'!G17</f>
        <v>0</v>
      </c>
      <c r="BK19" s="20">
        <f>'CAM-Jun2025'!H17</f>
        <v>263190</v>
      </c>
      <c r="BL19" s="23">
        <f>'CAM-Jul2025'!C17</f>
        <v>268739</v>
      </c>
      <c r="BM19" s="20">
        <f>'CAM-Jul2025'!G17</f>
        <v>0</v>
      </c>
      <c r="BN19" s="20">
        <f>'CAM-Jul2025'!H17</f>
        <v>268739</v>
      </c>
      <c r="BO19" s="23">
        <f>'CAM-Aug2025'!C17</f>
        <v>405875</v>
      </c>
      <c r="BP19" s="20">
        <f>'CAM-Aug2025'!G17</f>
        <v>0</v>
      </c>
      <c r="BQ19" s="20">
        <f>'CAM-Aug2025'!H17</f>
        <v>405875</v>
      </c>
      <c r="BR19" s="23">
        <f>'CAM-Sep2025'!C17</f>
        <v>349551.41000000003</v>
      </c>
      <c r="BS19" s="20">
        <f>'CAM-Sep2025'!G17</f>
        <v>0</v>
      </c>
      <c r="BT19" s="20">
        <f>'CAM-Sep2025'!H17</f>
        <v>349551.41000000003</v>
      </c>
      <c r="BU19" s="20">
        <f>'CAM-Oct2025'!C17</f>
        <v>437030</v>
      </c>
      <c r="BV19" s="20">
        <f>'CAM-Oct2025'!G17</f>
        <v>0</v>
      </c>
      <c r="BW19" s="20">
        <f>'CAM-Oct2025'!H17</f>
        <v>437030</v>
      </c>
      <c r="BX19" s="20">
        <f>'CAM-Nov2025'!C17</f>
        <v>140585</v>
      </c>
      <c r="BY19" s="20">
        <f>'CAM-Nov2025'!G17</f>
        <v>0</v>
      </c>
      <c r="BZ19" s="20">
        <f>'CAM-Nov2025'!H17</f>
        <v>140585</v>
      </c>
    </row>
    <row r="20" spans="1:78" ht="27.75" x14ac:dyDescent="0.25">
      <c r="A20" s="17">
        <v>13</v>
      </c>
      <c r="B20" s="24" t="s">
        <v>50</v>
      </c>
      <c r="C20" s="19">
        <f>'CAM-Jun`23'!C16</f>
        <v>794231</v>
      </c>
      <c r="D20" s="20">
        <f>'CAM-Jul`23'!C16</f>
        <v>25000</v>
      </c>
      <c r="E20" s="20">
        <f>'CAM-Aug`23'!C16</f>
        <v>25000</v>
      </c>
      <c r="F20" s="20">
        <f>'CAM-Sep`23'!C16</f>
        <v>25000</v>
      </c>
      <c r="G20" s="20">
        <f>'CAM-Oct`23'!C16</f>
        <v>25000</v>
      </c>
      <c r="H20" s="20">
        <f>'CAM-Nov`23'!C16</f>
        <v>51250</v>
      </c>
      <c r="I20" s="20">
        <f>'CAM-Dec`23'!C16</f>
        <v>77500</v>
      </c>
      <c r="J20" s="20">
        <f>'CAM-Jan`24'!C17</f>
        <v>0</v>
      </c>
      <c r="K20" s="20">
        <f>'CAM-Jan`24'!G17</f>
        <v>0</v>
      </c>
      <c r="L20" s="20">
        <f>'CAM-Jan`24'!H17</f>
        <v>0</v>
      </c>
      <c r="M20" s="20">
        <f>'CAM-Feb`24'!C17</f>
        <v>0</v>
      </c>
      <c r="N20" s="20">
        <f>'CAM-Feb`24'!G17</f>
        <v>0</v>
      </c>
      <c r="O20" s="20">
        <f>'CAM-Feb`24'!H17</f>
        <v>0</v>
      </c>
      <c r="P20" s="20">
        <f>'CAM-Mar`24'!C18</f>
        <v>350000</v>
      </c>
      <c r="Q20" s="20">
        <f>'CAM-Mar`24'!G18</f>
        <v>119498.76617170895</v>
      </c>
      <c r="R20" s="20">
        <f>'CAM-Mar`24'!H18</f>
        <v>230501.23382829106</v>
      </c>
      <c r="S20" s="20">
        <f>'CAM-Apr`24'!C18</f>
        <v>0</v>
      </c>
      <c r="T20" s="20">
        <f>'CAM-Apr`24'!G18</f>
        <v>0</v>
      </c>
      <c r="U20" s="20">
        <f>'CAM-Apr`24'!H18</f>
        <v>0</v>
      </c>
      <c r="V20" s="20">
        <f>'CAM-May`24'!C18</f>
        <v>0</v>
      </c>
      <c r="W20" s="21">
        <f>'CAM-May`24'!G18</f>
        <v>0</v>
      </c>
      <c r="X20" s="20">
        <f>'CAM-May`24'!H18</f>
        <v>0</v>
      </c>
      <c r="Y20" s="20">
        <f>'CAM-Jun`24'!C18</f>
        <v>356248.66666666669</v>
      </c>
      <c r="Z20" s="21">
        <f>'CAM-Jun`24'!G18</f>
        <v>121632.21747709456</v>
      </c>
      <c r="AA20" s="20">
        <f>'CAM-Jun`24'!H18</f>
        <v>234616.44918957213</v>
      </c>
      <c r="AB20" s="20">
        <f>'CAM-Jul`24'!C18</f>
        <v>356248.66666666669</v>
      </c>
      <c r="AC20" s="20">
        <f>'CAM-Jul`24'!G18</f>
        <v>121632.21747709456</v>
      </c>
      <c r="AD20" s="20">
        <f>'CAM-Jul`24'!H18</f>
        <v>234616.44918957213</v>
      </c>
      <c r="AE20" s="20">
        <f>'CAM-Aug`24'!C18</f>
        <v>656248.66666666674</v>
      </c>
      <c r="AF20" s="20">
        <f>'CAM-Aug`24'!G18</f>
        <v>224059.73133855939</v>
      </c>
      <c r="AG20" s="20">
        <f>'CAM-Aug`24'!H18</f>
        <v>432188.93532810733</v>
      </c>
      <c r="AH20" s="20">
        <f>'CAM-Sep`24'!C18</f>
        <v>300000</v>
      </c>
      <c r="AI20" s="20">
        <f>'CAM-Sep`24'!G18</f>
        <v>102427.51386146483</v>
      </c>
      <c r="AJ20" s="20">
        <f>'CAM-Sep`24'!H18</f>
        <v>197572.48613853517</v>
      </c>
      <c r="AK20" s="20">
        <f>'CAM-Oct`24'!C18</f>
        <v>300000</v>
      </c>
      <c r="AL20" s="20">
        <f>'CAM-Oct`24'!G18</f>
        <v>102427.51386146483</v>
      </c>
      <c r="AM20" s="20">
        <f>'CAM-Oct`24'!H18</f>
        <v>197572.48613853517</v>
      </c>
      <c r="AN20" s="20">
        <f>'CAM-Nov`24'!C18</f>
        <v>55000</v>
      </c>
      <c r="AO20" s="20">
        <f>'CAM-Nov`24'!G18</f>
        <v>18778.37754126855</v>
      </c>
      <c r="AP20" s="20">
        <f>'CAM-Nov`24'!H18</f>
        <v>36221.62245873145</v>
      </c>
      <c r="AQ20" s="20">
        <f>'CAM-Dec2024'!C18</f>
        <v>55000</v>
      </c>
      <c r="AR20" s="20">
        <f>'CAM-Dec2024'!G18</f>
        <v>18778.37754126855</v>
      </c>
      <c r="AS20" s="20">
        <f>'CAM-Dec2024'!H18</f>
        <v>36221.62245873145</v>
      </c>
      <c r="AT20" s="20">
        <f>'CAM-Jan2025'!C18</f>
        <v>55000</v>
      </c>
      <c r="AU20" s="20">
        <f>'CAM-Jan2025'!G18</f>
        <v>18778.37754126855</v>
      </c>
      <c r="AV20" s="20">
        <f>'CAM-Jan2025'!H18</f>
        <v>36221.62245873145</v>
      </c>
      <c r="AW20" s="20">
        <f>'CAM-Feb2025'!C18</f>
        <v>55000</v>
      </c>
      <c r="AX20" s="20">
        <f>'CAM-Feb2025'!G18</f>
        <v>18778.37754126855</v>
      </c>
      <c r="AY20" s="20">
        <f>'CAM-Feb2025'!H18</f>
        <v>36221.62245873145</v>
      </c>
      <c r="AZ20" s="20">
        <f>'CAM-Mar2025'!C18</f>
        <v>55000</v>
      </c>
      <c r="BA20" s="20">
        <f>'CAM-Mar2025'!G18</f>
        <v>18778.37754126855</v>
      </c>
      <c r="BB20" s="20">
        <f>'CAM-Mar2025'!H18</f>
        <v>36221.62245873145</v>
      </c>
      <c r="BC20" s="20">
        <f>'CAM-Apr2025'!C18</f>
        <v>143294.16999999998</v>
      </c>
      <c r="BD20" s="20">
        <f>'CAM-Apr2025'!G18</f>
        <v>48924.218613140314</v>
      </c>
      <c r="BE20" s="20">
        <f>'CAM-Apr2025'!H18</f>
        <v>94369.95138685967</v>
      </c>
      <c r="BF20" s="20">
        <f>'CAM-May2025'!C18</f>
        <v>143294.16999999998</v>
      </c>
      <c r="BG20" s="20">
        <f>'CAM-May2025'!G18</f>
        <v>48924.218613140314</v>
      </c>
      <c r="BH20" s="20">
        <f>'CAM-May2025'!H18</f>
        <v>94369.95138685967</v>
      </c>
      <c r="BI20" s="20">
        <f>'CAM-Jun2025'!C18</f>
        <v>143294.16999999998</v>
      </c>
      <c r="BJ20" s="20">
        <f>'CAM-Jun2025'!G18</f>
        <v>48924.218613140314</v>
      </c>
      <c r="BK20" s="20">
        <f>'CAM-Jun2025'!H18</f>
        <v>94369.95138685967</v>
      </c>
      <c r="BL20" s="20">
        <f>'CAM-Jul2025'!C18</f>
        <v>143294.16999999998</v>
      </c>
      <c r="BM20" s="20">
        <f>'CAM-Jul2025'!G18</f>
        <v>48924.218613140314</v>
      </c>
      <c r="BN20" s="20">
        <f>'CAM-Jul2025'!H18</f>
        <v>94369.95138685967</v>
      </c>
      <c r="BO20" s="20">
        <f>'CAM-Aug2025'!C18</f>
        <v>143294.16999999998</v>
      </c>
      <c r="BP20" s="20">
        <f>'CAM-Aug2025'!G18</f>
        <v>48924.218613140314</v>
      </c>
      <c r="BQ20" s="20">
        <f>'CAM-Aug2025'!H18</f>
        <v>94369.95138685967</v>
      </c>
      <c r="BR20" s="20">
        <f>'CAM-Sep2025'!C18</f>
        <v>143294.16999999998</v>
      </c>
      <c r="BS20" s="20">
        <f>'CAM-Sep2025'!G18</f>
        <v>48924.218613140314</v>
      </c>
      <c r="BT20" s="20">
        <f>'CAM-Sep2025'!H18</f>
        <v>94369.95138685967</v>
      </c>
      <c r="BU20" s="20">
        <f>'CAM-Oct2025'!C18</f>
        <v>143294.16999999998</v>
      </c>
      <c r="BV20" s="20">
        <f>'CAM-Oct2025'!G18</f>
        <v>48924.218613140314</v>
      </c>
      <c r="BW20" s="20">
        <f>'CAM-Oct2025'!H18</f>
        <v>94369.95138685967</v>
      </c>
      <c r="BX20" s="20">
        <f>'CAM-Nov2025'!C18</f>
        <v>143294.16999999998</v>
      </c>
      <c r="BY20" s="20">
        <f>'CAM-Nov2025'!G18</f>
        <v>48924.218613140314</v>
      </c>
      <c r="BZ20" s="20">
        <f>'CAM-Nov2025'!H18</f>
        <v>94369.95138685967</v>
      </c>
    </row>
    <row r="21" spans="1:78" ht="14.25" customHeight="1" x14ac:dyDescent="0.25">
      <c r="A21" s="25"/>
      <c r="B21" s="26" t="s">
        <v>51</v>
      </c>
      <c r="C21" s="27">
        <f>'CAM-Jun`23'!C17</f>
        <v>1658281.12</v>
      </c>
      <c r="D21" s="27">
        <f t="shared" ref="D21:BZ21" si="0">SUM(D8:D20)</f>
        <v>1795539.4920000001</v>
      </c>
      <c r="E21" s="27">
        <f t="shared" si="0"/>
        <v>1912244.2699999998</v>
      </c>
      <c r="F21" s="27">
        <f t="shared" si="0"/>
        <v>2495923.17</v>
      </c>
      <c r="G21" s="27">
        <f t="shared" si="0"/>
        <v>2628602.8559147869</v>
      </c>
      <c r="H21" s="27">
        <f t="shared" si="0"/>
        <v>2725938.0311857695</v>
      </c>
      <c r="I21" s="27">
        <f t="shared" si="0"/>
        <v>2838346.7356610256</v>
      </c>
      <c r="J21" s="27">
        <f t="shared" si="0"/>
        <v>3094603.1165172444</v>
      </c>
      <c r="K21" s="27">
        <f t="shared" si="0"/>
        <v>703505.50423612143</v>
      </c>
      <c r="L21" s="27">
        <f t="shared" si="0"/>
        <v>2391097.6122811227</v>
      </c>
      <c r="M21" s="27">
        <f t="shared" si="0"/>
        <v>2894369.9574268721</v>
      </c>
      <c r="N21" s="27">
        <f t="shared" si="0"/>
        <v>675188.9434588101</v>
      </c>
      <c r="O21" s="27">
        <f t="shared" si="0"/>
        <v>2219181.0139680621</v>
      </c>
      <c r="P21" s="27">
        <f t="shared" si="0"/>
        <v>3167394.2481450336</v>
      </c>
      <c r="Q21" s="27">
        <f t="shared" si="0"/>
        <v>750875.2470966957</v>
      </c>
      <c r="R21" s="27">
        <f t="shared" si="0"/>
        <v>2416519.0010483386</v>
      </c>
      <c r="S21" s="27">
        <f t="shared" si="0"/>
        <v>2993046.3647567038</v>
      </c>
      <c r="T21" s="27">
        <f t="shared" si="0"/>
        <v>657982.22432459251</v>
      </c>
      <c r="U21" s="27">
        <f t="shared" si="0"/>
        <v>2335064.1404321115</v>
      </c>
      <c r="V21" s="27">
        <f t="shared" si="0"/>
        <v>3550702.5760556334</v>
      </c>
      <c r="W21" s="28">
        <f t="shared" si="0"/>
        <v>814634.63928135927</v>
      </c>
      <c r="X21" s="27">
        <f t="shared" si="0"/>
        <v>2736067.9367742739</v>
      </c>
      <c r="Y21" s="27">
        <f t="shared" si="0"/>
        <v>3663722.800124255</v>
      </c>
      <c r="Z21" s="28">
        <f t="shared" si="0"/>
        <v>863862.91507503693</v>
      </c>
      <c r="AA21" s="27">
        <f t="shared" si="0"/>
        <v>2799859.8850492188</v>
      </c>
      <c r="AB21" s="27">
        <f t="shared" si="0"/>
        <v>3491270.3210772607</v>
      </c>
      <c r="AC21" s="28">
        <f t="shared" si="0"/>
        <v>815706.47940981667</v>
      </c>
      <c r="AD21" s="27">
        <f t="shared" si="0"/>
        <v>2675563.8416674444</v>
      </c>
      <c r="AE21" s="27">
        <f t="shared" si="0"/>
        <v>3517476.3453706512</v>
      </c>
      <c r="AF21" s="28">
        <f t="shared" si="0"/>
        <v>893791.24457487732</v>
      </c>
      <c r="AG21" s="27">
        <f t="shared" si="0"/>
        <v>2623685.1007957743</v>
      </c>
      <c r="AH21" s="27">
        <f t="shared" si="0"/>
        <v>3351597.0392913111</v>
      </c>
      <c r="AI21" s="28">
        <f t="shared" si="0"/>
        <v>821463.79378310568</v>
      </c>
      <c r="AJ21" s="27">
        <f t="shared" si="0"/>
        <v>2530133.2455082056</v>
      </c>
      <c r="AK21" s="27">
        <f t="shared" si="0"/>
        <v>3574565.7071344499</v>
      </c>
      <c r="AL21" s="28">
        <f t="shared" si="0"/>
        <v>877929.06736785441</v>
      </c>
      <c r="AM21" s="27">
        <f t="shared" si="0"/>
        <v>2696636.6397665958</v>
      </c>
      <c r="AN21" s="27">
        <f t="shared" si="0"/>
        <v>3780719.5452976641</v>
      </c>
      <c r="AO21" s="28">
        <f t="shared" si="0"/>
        <v>817910.89804207499</v>
      </c>
      <c r="AP21" s="27">
        <f t="shared" si="0"/>
        <v>2962808.6472555893</v>
      </c>
      <c r="AQ21" s="27">
        <f t="shared" si="0"/>
        <v>3516946.05</v>
      </c>
      <c r="AR21" s="28">
        <f t="shared" si="0"/>
        <v>793702.34880170214</v>
      </c>
      <c r="AS21" s="27">
        <f t="shared" si="0"/>
        <v>2723243.7011982976</v>
      </c>
      <c r="AT21" s="27">
        <f t="shared" si="0"/>
        <v>3417927.9</v>
      </c>
      <c r="AU21" s="28">
        <f t="shared" si="0"/>
        <v>786479.20736634149</v>
      </c>
      <c r="AV21" s="27">
        <f t="shared" si="0"/>
        <v>2631448.6926336586</v>
      </c>
      <c r="AW21" s="27">
        <f t="shared" si="0"/>
        <v>3398183.9</v>
      </c>
      <c r="AX21" s="28">
        <f t="shared" si="0"/>
        <v>789561.9617003384</v>
      </c>
      <c r="AY21" s="27">
        <f t="shared" si="0"/>
        <v>2608621.938299661</v>
      </c>
      <c r="AZ21" s="27">
        <f t="shared" si="0"/>
        <v>3762794.89</v>
      </c>
      <c r="BA21" s="28">
        <f t="shared" si="0"/>
        <v>838243.45806136855</v>
      </c>
      <c r="BB21" s="27">
        <f t="shared" si="0"/>
        <v>2924551.4319386315</v>
      </c>
      <c r="BC21" s="27">
        <f t="shared" si="0"/>
        <v>4389576.9563127272</v>
      </c>
      <c r="BD21" s="28">
        <f t="shared" si="0"/>
        <v>904032.53192857967</v>
      </c>
      <c r="BE21" s="27">
        <f t="shared" si="0"/>
        <v>3485544.4243841474</v>
      </c>
      <c r="BF21" s="27">
        <f t="shared" si="0"/>
        <v>4746977.6767365048</v>
      </c>
      <c r="BG21" s="28">
        <f t="shared" si="0"/>
        <v>1011018.783885667</v>
      </c>
      <c r="BH21" s="27">
        <f t="shared" si="0"/>
        <v>3735958.8928508377</v>
      </c>
      <c r="BI21" s="27">
        <f t="shared" si="0"/>
        <v>4177335.2602411308</v>
      </c>
      <c r="BJ21" s="27">
        <f t="shared" si="0"/>
        <v>889336.09360878961</v>
      </c>
      <c r="BK21" s="27">
        <f t="shared" si="0"/>
        <v>3287999.1666323417</v>
      </c>
      <c r="BL21" s="27">
        <f t="shared" si="0"/>
        <v>4626186.2138433987</v>
      </c>
      <c r="BM21" s="27">
        <f t="shared" si="0"/>
        <v>987861.99201899034</v>
      </c>
      <c r="BN21" s="27">
        <f t="shared" si="0"/>
        <v>3638324.221824409</v>
      </c>
      <c r="BO21" s="27">
        <f t="shared" si="0"/>
        <v>4587846.3699999992</v>
      </c>
      <c r="BP21" s="27">
        <f t="shared" si="0"/>
        <v>942833.47490560496</v>
      </c>
      <c r="BQ21" s="27">
        <f t="shared" si="0"/>
        <v>3645012.8950943951</v>
      </c>
      <c r="BR21" s="27">
        <f t="shared" si="0"/>
        <v>4316444.7817135891</v>
      </c>
      <c r="BS21" s="27">
        <f t="shared" si="0"/>
        <v>900975.30445010192</v>
      </c>
      <c r="BT21" s="27">
        <f t="shared" si="0"/>
        <v>3415469.4772634869</v>
      </c>
      <c r="BU21" s="27">
        <f t="shared" si="0"/>
        <v>4330946.806539149</v>
      </c>
      <c r="BV21" s="27">
        <f t="shared" si="0"/>
        <v>881298.34362740314</v>
      </c>
      <c r="BW21" s="27">
        <f t="shared" si="0"/>
        <v>3449648.4629117465</v>
      </c>
      <c r="BX21" s="27">
        <f t="shared" si="0"/>
        <v>4159245.5724977879</v>
      </c>
      <c r="BY21" s="27">
        <f t="shared" si="0"/>
        <v>871314.44948330522</v>
      </c>
      <c r="BZ21" s="27">
        <f t="shared" si="0"/>
        <v>3287931.1230144827</v>
      </c>
    </row>
    <row r="22" spans="1:78" ht="15.75" customHeight="1" x14ac:dyDescent="0.25">
      <c r="A22" s="4">
        <v>14</v>
      </c>
      <c r="B22" s="29" t="s">
        <v>52</v>
      </c>
      <c r="C22" s="30">
        <f t="shared" ref="C22:X22" si="1">C21*2%</f>
        <v>33165.6224</v>
      </c>
      <c r="D22" s="30">
        <f t="shared" si="1"/>
        <v>35910.789840000005</v>
      </c>
      <c r="E22" s="30">
        <f t="shared" si="1"/>
        <v>38244.885399999999</v>
      </c>
      <c r="F22" s="30">
        <f t="shared" si="1"/>
        <v>49918.463400000001</v>
      </c>
      <c r="G22" s="30">
        <f t="shared" si="1"/>
        <v>52572.057118295743</v>
      </c>
      <c r="H22" s="30">
        <f t="shared" si="1"/>
        <v>54518.760623715389</v>
      </c>
      <c r="I22" s="30">
        <f t="shared" si="1"/>
        <v>56766.934713220515</v>
      </c>
      <c r="J22" s="30">
        <f t="shared" si="1"/>
        <v>61892.062330344888</v>
      </c>
      <c r="K22" s="30">
        <f t="shared" si="1"/>
        <v>14070.11008472243</v>
      </c>
      <c r="L22" s="30">
        <f t="shared" si="1"/>
        <v>47821.952245622459</v>
      </c>
      <c r="M22" s="30">
        <f t="shared" si="1"/>
        <v>57887.399148537443</v>
      </c>
      <c r="N22" s="30">
        <f t="shared" si="1"/>
        <v>13503.778869176202</v>
      </c>
      <c r="O22" s="30">
        <f t="shared" si="1"/>
        <v>44383.620279361247</v>
      </c>
      <c r="P22" s="30">
        <f t="shared" si="1"/>
        <v>63347.884962900673</v>
      </c>
      <c r="Q22" s="30">
        <f t="shared" si="1"/>
        <v>15017.504941933914</v>
      </c>
      <c r="R22" s="30">
        <f t="shared" si="1"/>
        <v>48330.380020966775</v>
      </c>
      <c r="S22" s="30">
        <f t="shared" si="1"/>
        <v>59860.927295134075</v>
      </c>
      <c r="T22" s="30">
        <f t="shared" si="1"/>
        <v>13159.64448649185</v>
      </c>
      <c r="U22" s="30">
        <f t="shared" si="1"/>
        <v>46701.282808642231</v>
      </c>
      <c r="V22" s="30">
        <f t="shared" si="1"/>
        <v>71014.051521112662</v>
      </c>
      <c r="W22" s="31">
        <f t="shared" si="1"/>
        <v>16292.692785627185</v>
      </c>
      <c r="X22" s="30">
        <f t="shared" si="1"/>
        <v>54721.358735485475</v>
      </c>
      <c r="Y22" s="30">
        <v>0</v>
      </c>
      <c r="Z22" s="31">
        <v>0</v>
      </c>
      <c r="AA22" s="30">
        <v>0</v>
      </c>
      <c r="AB22" s="30">
        <v>0</v>
      </c>
      <c r="AC22" s="31">
        <v>0</v>
      </c>
      <c r="AD22" s="30">
        <v>0</v>
      </c>
      <c r="AE22" s="30">
        <v>0</v>
      </c>
      <c r="AF22" s="31">
        <v>0</v>
      </c>
      <c r="AG22" s="30">
        <v>0</v>
      </c>
      <c r="AH22" s="30">
        <v>0</v>
      </c>
      <c r="AI22" s="31">
        <v>0</v>
      </c>
      <c r="AJ22" s="30">
        <v>0</v>
      </c>
      <c r="AK22" s="30">
        <v>0</v>
      </c>
      <c r="AL22" s="31">
        <v>0</v>
      </c>
      <c r="AM22" s="30">
        <v>0</v>
      </c>
      <c r="AN22" s="30">
        <v>0</v>
      </c>
      <c r="AO22" s="31">
        <v>0</v>
      </c>
      <c r="AP22" s="30">
        <v>0</v>
      </c>
      <c r="AQ22" s="30">
        <v>0</v>
      </c>
      <c r="AR22" s="31">
        <v>0</v>
      </c>
      <c r="AS22" s="30">
        <v>0</v>
      </c>
      <c r="AT22" s="30">
        <v>0</v>
      </c>
      <c r="AU22" s="31">
        <v>0</v>
      </c>
      <c r="AV22" s="30">
        <v>0</v>
      </c>
      <c r="AW22" s="30">
        <v>0</v>
      </c>
      <c r="AX22" s="31">
        <v>0</v>
      </c>
      <c r="AY22" s="30">
        <v>0</v>
      </c>
      <c r="AZ22" s="30">
        <v>0</v>
      </c>
      <c r="BA22" s="31">
        <v>0</v>
      </c>
      <c r="BB22" s="30">
        <v>0</v>
      </c>
      <c r="BC22" s="30">
        <v>0</v>
      </c>
      <c r="BD22" s="31">
        <v>0</v>
      </c>
      <c r="BE22" s="30">
        <v>0</v>
      </c>
      <c r="BF22" s="30">
        <v>0</v>
      </c>
      <c r="BG22" s="31">
        <v>0</v>
      </c>
      <c r="BH22" s="30">
        <v>0</v>
      </c>
      <c r="BI22" s="30">
        <v>0</v>
      </c>
      <c r="BJ22" s="31">
        <v>0</v>
      </c>
      <c r="BK22" s="30">
        <v>0</v>
      </c>
      <c r="BL22" s="30">
        <v>0</v>
      </c>
      <c r="BM22" s="31">
        <v>0</v>
      </c>
      <c r="BN22" s="30">
        <v>0</v>
      </c>
      <c r="BO22" s="30">
        <v>0</v>
      </c>
      <c r="BP22" s="31">
        <v>0</v>
      </c>
      <c r="BQ22" s="30">
        <v>0</v>
      </c>
      <c r="BR22" s="30">
        <v>0</v>
      </c>
      <c r="BS22" s="31">
        <v>0</v>
      </c>
      <c r="BT22" s="30">
        <v>0</v>
      </c>
      <c r="BU22" s="30">
        <v>0</v>
      </c>
      <c r="BV22" s="31">
        <v>0</v>
      </c>
      <c r="BW22" s="30">
        <v>0</v>
      </c>
      <c r="BX22" s="30">
        <v>0</v>
      </c>
      <c r="BY22" s="31">
        <v>0</v>
      </c>
      <c r="BZ22" s="30">
        <v>0</v>
      </c>
    </row>
    <row r="23" spans="1:78" ht="19.5" customHeight="1" x14ac:dyDescent="0.25">
      <c r="A23" s="4">
        <v>15</v>
      </c>
      <c r="B23" s="32" t="s">
        <v>53</v>
      </c>
      <c r="C23" s="30">
        <v>490749</v>
      </c>
      <c r="D23" s="30">
        <v>490749</v>
      </c>
      <c r="E23" s="30">
        <v>490749</v>
      </c>
      <c r="F23" s="30">
        <v>490749</v>
      </c>
      <c r="G23" s="30">
        <v>490749</v>
      </c>
      <c r="H23" s="30">
        <v>490749</v>
      </c>
      <c r="I23" s="30">
        <v>490749</v>
      </c>
      <c r="J23" s="30">
        <v>490749</v>
      </c>
      <c r="K23" s="30">
        <f t="shared" ref="K23:L23" si="2">K7*1</f>
        <v>167554</v>
      </c>
      <c r="L23" s="30">
        <f t="shared" si="2"/>
        <v>323195</v>
      </c>
      <c r="M23" s="30">
        <v>490749</v>
      </c>
      <c r="N23" s="30">
        <f t="shared" ref="N23:O23" si="3">N7*1</f>
        <v>167554</v>
      </c>
      <c r="O23" s="30">
        <f t="shared" si="3"/>
        <v>323195</v>
      </c>
      <c r="P23" s="30">
        <v>490749</v>
      </c>
      <c r="Q23" s="30">
        <f t="shared" ref="Q23:R23" si="4">Q7*1</f>
        <v>167554</v>
      </c>
      <c r="R23" s="30">
        <f t="shared" si="4"/>
        <v>323195</v>
      </c>
      <c r="S23" s="30">
        <v>490749</v>
      </c>
      <c r="T23" s="30">
        <f t="shared" ref="T23:U23" si="5">T7*1</f>
        <v>167554</v>
      </c>
      <c r="U23" s="30">
        <f t="shared" si="5"/>
        <v>323195</v>
      </c>
      <c r="V23" s="30">
        <v>490749</v>
      </c>
      <c r="W23" s="31">
        <f t="shared" ref="W23:X23" si="6">W7*1</f>
        <v>167554</v>
      </c>
      <c r="X23" s="30">
        <f t="shared" si="6"/>
        <v>323195</v>
      </c>
      <c r="Y23" s="30">
        <v>490749</v>
      </c>
      <c r="Z23" s="31">
        <f t="shared" ref="Z23:AA23" si="7">Z7*1</f>
        <v>167554</v>
      </c>
      <c r="AA23" s="30">
        <f t="shared" si="7"/>
        <v>323195</v>
      </c>
      <c r="AB23" s="30">
        <v>490749</v>
      </c>
      <c r="AC23" s="31">
        <f t="shared" ref="AC23:AD23" si="8">AC7*1</f>
        <v>167554</v>
      </c>
      <c r="AD23" s="30">
        <f t="shared" si="8"/>
        <v>323195</v>
      </c>
      <c r="AE23" s="30">
        <v>490749</v>
      </c>
      <c r="AF23" s="31">
        <f t="shared" ref="AF23:AG23" si="9">AF7*1</f>
        <v>167554</v>
      </c>
      <c r="AG23" s="30">
        <f t="shared" si="9"/>
        <v>323195</v>
      </c>
      <c r="AH23" s="30">
        <v>490749</v>
      </c>
      <c r="AI23" s="31">
        <f t="shared" ref="AI23:AJ23" si="10">AI7*1</f>
        <v>167554</v>
      </c>
      <c r="AJ23" s="30">
        <f t="shared" si="10"/>
        <v>323195</v>
      </c>
      <c r="AK23" s="30">
        <v>490749</v>
      </c>
      <c r="AL23" s="31">
        <f t="shared" ref="AL23:AM23" si="11">AL7*1</f>
        <v>167554</v>
      </c>
      <c r="AM23" s="30">
        <f t="shared" si="11"/>
        <v>323195</v>
      </c>
      <c r="AN23" s="30">
        <v>490749</v>
      </c>
      <c r="AO23" s="31">
        <f t="shared" ref="AO23:AP23" si="12">AO7*1</f>
        <v>167554</v>
      </c>
      <c r="AP23" s="30">
        <f t="shared" si="12"/>
        <v>323195</v>
      </c>
      <c r="AQ23" s="30">
        <v>490749</v>
      </c>
      <c r="AR23" s="31">
        <f t="shared" ref="AR23:AS23" si="13">AR7*1</f>
        <v>167554</v>
      </c>
      <c r="AS23" s="30">
        <f t="shared" si="13"/>
        <v>323195</v>
      </c>
      <c r="AT23" s="30">
        <v>490749</v>
      </c>
      <c r="AU23" s="31">
        <f t="shared" ref="AU23:AV23" si="14">AU7*1</f>
        <v>167554</v>
      </c>
      <c r="AV23" s="30">
        <f t="shared" si="14"/>
        <v>323195</v>
      </c>
      <c r="AW23" s="30">
        <v>490749</v>
      </c>
      <c r="AX23" s="31">
        <f t="shared" ref="AX23:AY23" si="15">AX7*1</f>
        <v>167554</v>
      </c>
      <c r="AY23" s="30">
        <f t="shared" si="15"/>
        <v>323195</v>
      </c>
      <c r="AZ23" s="30">
        <v>490749</v>
      </c>
      <c r="BA23" s="31">
        <f t="shared" ref="BA23:BB23" si="16">BA7*1</f>
        <v>167554</v>
      </c>
      <c r="BB23" s="30">
        <f t="shared" si="16"/>
        <v>323195</v>
      </c>
      <c r="BC23" s="30">
        <v>490749</v>
      </c>
      <c r="BD23" s="31">
        <f t="shared" ref="BD23:BE23" si="17">BD7*1</f>
        <v>167554</v>
      </c>
      <c r="BE23" s="30">
        <f t="shared" si="17"/>
        <v>323195</v>
      </c>
      <c r="BF23" s="30">
        <v>490749</v>
      </c>
      <c r="BG23" s="31">
        <f t="shared" ref="BG23:BH23" si="18">BG7*1</f>
        <v>167554</v>
      </c>
      <c r="BH23" s="30">
        <f t="shared" si="18"/>
        <v>323195</v>
      </c>
      <c r="BI23" s="30">
        <v>490749</v>
      </c>
      <c r="BJ23" s="31">
        <f t="shared" ref="BJ23:BK23" si="19">BJ7*1</f>
        <v>167554</v>
      </c>
      <c r="BK23" s="30">
        <f t="shared" si="19"/>
        <v>323195</v>
      </c>
      <c r="BL23" s="30">
        <v>490749</v>
      </c>
      <c r="BM23" s="31">
        <f t="shared" ref="BM23:BN23" si="20">BM7*1</f>
        <v>167554</v>
      </c>
      <c r="BN23" s="30">
        <f t="shared" si="20"/>
        <v>323195</v>
      </c>
      <c r="BO23" s="30">
        <v>490749</v>
      </c>
      <c r="BP23" s="31">
        <f t="shared" ref="BP23:BQ23" si="21">BP7*1</f>
        <v>167554</v>
      </c>
      <c r="BQ23" s="30">
        <f t="shared" si="21"/>
        <v>323195</v>
      </c>
      <c r="BR23" s="30">
        <v>490749</v>
      </c>
      <c r="BS23" s="31">
        <f t="shared" ref="BS23:BT23" si="22">BS7*1</f>
        <v>167554</v>
      </c>
      <c r="BT23" s="30">
        <f t="shared" si="22"/>
        <v>323195</v>
      </c>
      <c r="BU23" s="30">
        <v>490749</v>
      </c>
      <c r="BV23" s="31">
        <f t="shared" ref="BV23:BW23" si="23">BV7*1</f>
        <v>167554</v>
      </c>
      <c r="BW23" s="30">
        <f t="shared" si="23"/>
        <v>323195</v>
      </c>
      <c r="BX23" s="30">
        <v>490749</v>
      </c>
      <c r="BY23" s="31">
        <f t="shared" ref="BY23:BZ23" si="24">BY7*1</f>
        <v>167554</v>
      </c>
      <c r="BZ23" s="30">
        <f t="shared" si="24"/>
        <v>323195</v>
      </c>
    </row>
    <row r="24" spans="1:78" ht="19.5" customHeight="1" x14ac:dyDescent="0.25">
      <c r="A24" s="4"/>
      <c r="B24" s="32" t="s">
        <v>54</v>
      </c>
      <c r="C24" s="30">
        <f t="shared" ref="C24:BZ24" si="25">SUM(C21:C23)</f>
        <v>2182195.7423999999</v>
      </c>
      <c r="D24" s="30">
        <f t="shared" si="25"/>
        <v>2322199.2818400003</v>
      </c>
      <c r="E24" s="30">
        <f t="shared" si="25"/>
        <v>2441238.1553999996</v>
      </c>
      <c r="F24" s="30">
        <f t="shared" si="25"/>
        <v>3036590.6333999997</v>
      </c>
      <c r="G24" s="30">
        <f t="shared" si="25"/>
        <v>3171923.9130330826</v>
      </c>
      <c r="H24" s="30">
        <f t="shared" si="25"/>
        <v>3271205.7918094848</v>
      </c>
      <c r="I24" s="30">
        <f t="shared" si="25"/>
        <v>3385862.6703742463</v>
      </c>
      <c r="J24" s="30">
        <f t="shared" si="25"/>
        <v>3647244.1788475891</v>
      </c>
      <c r="K24" s="30">
        <f t="shared" si="25"/>
        <v>885129.61432084383</v>
      </c>
      <c r="L24" s="30">
        <f t="shared" si="25"/>
        <v>2762114.5645267451</v>
      </c>
      <c r="M24" s="30">
        <f t="shared" si="25"/>
        <v>3443006.3565754094</v>
      </c>
      <c r="N24" s="30">
        <f t="shared" si="25"/>
        <v>856246.72232798627</v>
      </c>
      <c r="O24" s="30">
        <f t="shared" si="25"/>
        <v>2586759.6342474231</v>
      </c>
      <c r="P24" s="30">
        <f t="shared" si="25"/>
        <v>3721491.1331079341</v>
      </c>
      <c r="Q24" s="30">
        <f t="shared" si="25"/>
        <v>933446.75203862961</v>
      </c>
      <c r="R24" s="30">
        <f t="shared" si="25"/>
        <v>2788044.3810693054</v>
      </c>
      <c r="S24" s="30">
        <f t="shared" si="25"/>
        <v>3543656.2920518378</v>
      </c>
      <c r="T24" s="30">
        <f t="shared" si="25"/>
        <v>838695.86881108431</v>
      </c>
      <c r="U24" s="30">
        <f t="shared" si="25"/>
        <v>2704960.4232407538</v>
      </c>
      <c r="V24" s="30">
        <f t="shared" si="25"/>
        <v>4112465.627576746</v>
      </c>
      <c r="W24" s="31">
        <f t="shared" si="25"/>
        <v>998481.33206698648</v>
      </c>
      <c r="X24" s="30">
        <f t="shared" si="25"/>
        <v>3113984.2955097593</v>
      </c>
      <c r="Y24" s="30">
        <f t="shared" si="25"/>
        <v>4154471.800124255</v>
      </c>
      <c r="Z24" s="31">
        <f t="shared" si="25"/>
        <v>1031416.9150750369</v>
      </c>
      <c r="AA24" s="30">
        <f t="shared" si="25"/>
        <v>3123054.8850492188</v>
      </c>
      <c r="AB24" s="30">
        <f t="shared" si="25"/>
        <v>3982019.3210772607</v>
      </c>
      <c r="AC24" s="31">
        <f t="shared" si="25"/>
        <v>983260.47940981667</v>
      </c>
      <c r="AD24" s="30">
        <f t="shared" si="25"/>
        <v>2998758.8416674444</v>
      </c>
      <c r="AE24" s="30">
        <f t="shared" si="25"/>
        <v>4008225.3453706512</v>
      </c>
      <c r="AF24" s="31">
        <f t="shared" si="25"/>
        <v>1061345.2445748774</v>
      </c>
      <c r="AG24" s="30">
        <f t="shared" si="25"/>
        <v>2946880.1007957743</v>
      </c>
      <c r="AH24" s="30">
        <f t="shared" si="25"/>
        <v>3842346.0392913111</v>
      </c>
      <c r="AI24" s="31">
        <f t="shared" si="25"/>
        <v>989017.79378310568</v>
      </c>
      <c r="AJ24" s="30">
        <f t="shared" si="25"/>
        <v>2853328.2455082056</v>
      </c>
      <c r="AK24" s="30">
        <f t="shared" si="25"/>
        <v>4065314.7071344499</v>
      </c>
      <c r="AL24" s="31">
        <f t="shared" si="25"/>
        <v>1045483.0673678544</v>
      </c>
      <c r="AM24" s="30">
        <f t="shared" si="25"/>
        <v>3019831.6397665958</v>
      </c>
      <c r="AN24" s="30">
        <f t="shared" si="25"/>
        <v>4271468.5452976637</v>
      </c>
      <c r="AO24" s="31">
        <f t="shared" si="25"/>
        <v>985464.89804207499</v>
      </c>
      <c r="AP24" s="30">
        <f t="shared" si="25"/>
        <v>3286003.6472555893</v>
      </c>
      <c r="AQ24" s="30">
        <f t="shared" si="25"/>
        <v>4007695.05</v>
      </c>
      <c r="AR24" s="31">
        <f t="shared" si="25"/>
        <v>961256.34880170214</v>
      </c>
      <c r="AS24" s="30">
        <f t="shared" si="25"/>
        <v>3046438.7011982976</v>
      </c>
      <c r="AT24" s="30">
        <f t="shared" si="25"/>
        <v>3908676.9</v>
      </c>
      <c r="AU24" s="31">
        <f t="shared" si="25"/>
        <v>954033.20736634149</v>
      </c>
      <c r="AV24" s="30">
        <f t="shared" si="25"/>
        <v>2954643.6926336586</v>
      </c>
      <c r="AW24" s="30">
        <f t="shared" si="25"/>
        <v>3888932.9</v>
      </c>
      <c r="AX24" s="31">
        <f t="shared" si="25"/>
        <v>957115.9617003384</v>
      </c>
      <c r="AY24" s="30">
        <f t="shared" si="25"/>
        <v>2931816.938299661</v>
      </c>
      <c r="AZ24" s="30">
        <f t="shared" si="25"/>
        <v>4253543.8900000006</v>
      </c>
      <c r="BA24" s="31">
        <f t="shared" si="25"/>
        <v>1005797.4580613686</v>
      </c>
      <c r="BB24" s="30">
        <f t="shared" si="25"/>
        <v>3247746.4319386315</v>
      </c>
      <c r="BC24" s="30">
        <f t="shared" si="25"/>
        <v>4880325.9563127272</v>
      </c>
      <c r="BD24" s="31">
        <f t="shared" si="25"/>
        <v>1071586.5319285798</v>
      </c>
      <c r="BE24" s="30">
        <f t="shared" si="25"/>
        <v>3808739.4243841474</v>
      </c>
      <c r="BF24" s="30">
        <f t="shared" si="25"/>
        <v>5237726.6767365048</v>
      </c>
      <c r="BG24" s="31">
        <f t="shared" si="25"/>
        <v>1178572.7838856671</v>
      </c>
      <c r="BH24" s="30">
        <f t="shared" si="25"/>
        <v>4059153.8928508377</v>
      </c>
      <c r="BI24" s="30">
        <f t="shared" si="25"/>
        <v>4668084.2602411304</v>
      </c>
      <c r="BJ24" s="31">
        <f t="shared" si="25"/>
        <v>1056890.0936087896</v>
      </c>
      <c r="BK24" s="30">
        <f t="shared" si="25"/>
        <v>3611194.1666323417</v>
      </c>
      <c r="BL24" s="30">
        <f t="shared" si="25"/>
        <v>5116935.2138433987</v>
      </c>
      <c r="BM24" s="31">
        <f t="shared" si="25"/>
        <v>1155415.9920189902</v>
      </c>
      <c r="BN24" s="30">
        <f t="shared" si="25"/>
        <v>3961519.221824409</v>
      </c>
      <c r="BO24" s="30">
        <f t="shared" si="25"/>
        <v>5078595.3699999992</v>
      </c>
      <c r="BP24" s="31">
        <f t="shared" si="25"/>
        <v>1110387.474905605</v>
      </c>
      <c r="BQ24" s="30">
        <f t="shared" si="25"/>
        <v>3968207.8950943951</v>
      </c>
      <c r="BR24" s="30">
        <f t="shared" si="25"/>
        <v>4807193.7817135891</v>
      </c>
      <c r="BS24" s="31">
        <f t="shared" si="25"/>
        <v>1068529.3044501019</v>
      </c>
      <c r="BT24" s="30">
        <f t="shared" si="25"/>
        <v>3738664.4772634869</v>
      </c>
      <c r="BU24" s="30">
        <f t="shared" si="25"/>
        <v>4821695.806539149</v>
      </c>
      <c r="BV24" s="31">
        <f t="shared" si="25"/>
        <v>1048852.343627403</v>
      </c>
      <c r="BW24" s="30">
        <f t="shared" si="25"/>
        <v>3772843.4629117465</v>
      </c>
      <c r="BX24" s="30">
        <f t="shared" si="25"/>
        <v>4649994.5724977879</v>
      </c>
      <c r="BY24" s="31">
        <f t="shared" si="25"/>
        <v>1038868.4494833052</v>
      </c>
      <c r="BZ24" s="30">
        <f t="shared" si="25"/>
        <v>3611126.1230144827</v>
      </c>
    </row>
    <row r="25" spans="1:78" ht="14.25" customHeight="1" x14ac:dyDescent="0.25">
      <c r="A25" s="4"/>
      <c r="B25" s="29" t="s">
        <v>55</v>
      </c>
      <c r="C25" s="33">
        <f t="shared" ref="C25:J25" si="26">(C22+C23+C21)/$C$4</f>
        <v>4.4466636557588499</v>
      </c>
      <c r="D25" s="33">
        <f t="shared" si="26"/>
        <v>4.7319490856629365</v>
      </c>
      <c r="E25" s="33">
        <f t="shared" si="26"/>
        <v>4.9745147833210046</v>
      </c>
      <c r="F25" s="33">
        <f t="shared" si="26"/>
        <v>6.1876654530116202</v>
      </c>
      <c r="G25" s="33">
        <f t="shared" si="26"/>
        <v>6.4634342872488437</v>
      </c>
      <c r="H25" s="33">
        <f t="shared" si="26"/>
        <v>6.6657411259309436</v>
      </c>
      <c r="I25" s="33">
        <f t="shared" si="26"/>
        <v>6.8993776255769168</v>
      </c>
      <c r="J25" s="33">
        <f t="shared" si="26"/>
        <v>7.43199513162042</v>
      </c>
      <c r="K25" s="33">
        <f t="shared" ref="K25:L25" si="27">K24/K7</f>
        <v>5.282652842193226</v>
      </c>
      <c r="L25" s="33">
        <f t="shared" si="27"/>
        <v>8.5462787621304326</v>
      </c>
      <c r="M25" s="33">
        <f>(M22+M23+M21)/$C$4</f>
        <v>7.0158194037591715</v>
      </c>
      <c r="N25" s="33">
        <f t="shared" ref="N25:BZ25" si="28">N24/N7</f>
        <v>5.1102732392421926</v>
      </c>
      <c r="O25" s="33">
        <f t="shared" si="28"/>
        <v>8.0037117970495313</v>
      </c>
      <c r="P25" s="33">
        <f t="shared" si="28"/>
        <v>7.5832882657079974</v>
      </c>
      <c r="Q25" s="33">
        <f t="shared" si="28"/>
        <v>5.5710203996241789</v>
      </c>
      <c r="R25" s="33">
        <f t="shared" si="28"/>
        <v>8.6265083960745219</v>
      </c>
      <c r="S25" s="33">
        <f t="shared" si="28"/>
        <v>7.2209139337050869</v>
      </c>
      <c r="T25" s="33">
        <f t="shared" si="28"/>
        <v>5.0055257935416897</v>
      </c>
      <c r="U25" s="33">
        <f t="shared" si="28"/>
        <v>8.3694377179125716</v>
      </c>
      <c r="V25" s="33">
        <f t="shared" si="28"/>
        <v>8.3799776007220519</v>
      </c>
      <c r="W25" s="34">
        <f t="shared" si="28"/>
        <v>5.9591614170177163</v>
      </c>
      <c r="X25" s="33">
        <f t="shared" si="28"/>
        <v>9.635001455807668</v>
      </c>
      <c r="Y25" s="33">
        <f t="shared" si="28"/>
        <v>8.4655736438062128</v>
      </c>
      <c r="Z25" s="34">
        <f t="shared" si="28"/>
        <v>6.1557283924886121</v>
      </c>
      <c r="AA25" s="33">
        <f t="shared" si="28"/>
        <v>9.6630668328693776</v>
      </c>
      <c r="AB25" s="33">
        <f t="shared" si="28"/>
        <v>8.1141669592342733</v>
      </c>
      <c r="AC25" s="34">
        <f t="shared" si="28"/>
        <v>5.8683199410925235</v>
      </c>
      <c r="AD25" s="33">
        <f t="shared" si="28"/>
        <v>9.2784815410741022</v>
      </c>
      <c r="AE25" s="33">
        <f t="shared" si="28"/>
        <v>8.1675670156651385</v>
      </c>
      <c r="AF25" s="34">
        <f t="shared" si="28"/>
        <v>6.3343474018816464</v>
      </c>
      <c r="AG25" s="33">
        <f t="shared" si="28"/>
        <v>9.1179631516445934</v>
      </c>
      <c r="AH25" s="33">
        <f t="shared" si="28"/>
        <v>7.8295544958651186</v>
      </c>
      <c r="AI25" s="34">
        <f t="shared" si="28"/>
        <v>5.9026808896421787</v>
      </c>
      <c r="AJ25" s="33">
        <f t="shared" si="28"/>
        <v>8.8285036758248285</v>
      </c>
      <c r="AK25" s="33">
        <f t="shared" si="28"/>
        <v>8.2838980968569462</v>
      </c>
      <c r="AL25" s="34">
        <f t="shared" si="28"/>
        <v>6.2396783566363947</v>
      </c>
      <c r="AM25" s="33">
        <f t="shared" si="28"/>
        <v>9.3436830389288072</v>
      </c>
      <c r="AN25" s="33">
        <f t="shared" si="28"/>
        <v>8.7039780932771418</v>
      </c>
      <c r="AO25" s="34">
        <f t="shared" si="28"/>
        <v>5.8814764078570194</v>
      </c>
      <c r="AP25" s="33">
        <f t="shared" si="28"/>
        <v>10.167247783089433</v>
      </c>
      <c r="AQ25" s="33">
        <f t="shared" si="28"/>
        <v>8.1664864319642021</v>
      </c>
      <c r="AR25" s="34">
        <f t="shared" si="28"/>
        <v>5.7369943349708281</v>
      </c>
      <c r="AS25" s="33">
        <f t="shared" si="28"/>
        <v>9.4260081412097882</v>
      </c>
      <c r="AT25" s="33">
        <f t="shared" si="28"/>
        <v>7.9647169938196507</v>
      </c>
      <c r="AU25" s="34">
        <f t="shared" si="28"/>
        <v>5.693885000455623</v>
      </c>
      <c r="AV25" s="33">
        <f t="shared" si="28"/>
        <v>9.1419845376124584</v>
      </c>
      <c r="AW25" s="33">
        <f t="shared" si="28"/>
        <v>7.924484614334415</v>
      </c>
      <c r="AX25" s="34">
        <f t="shared" si="28"/>
        <v>5.7122835724622414</v>
      </c>
      <c r="AY25" s="33">
        <f t="shared" si="28"/>
        <v>9.0713561110155201</v>
      </c>
      <c r="AZ25" s="33">
        <f t="shared" si="28"/>
        <v>8.6674529953194011</v>
      </c>
      <c r="BA25" s="34">
        <f t="shared" si="28"/>
        <v>6.0028257043184201</v>
      </c>
      <c r="BB25" s="33">
        <f t="shared" si="28"/>
        <v>10.048875854944017</v>
      </c>
      <c r="BC25" s="33">
        <f t="shared" si="28"/>
        <v>9.94464778596131</v>
      </c>
      <c r="BD25" s="34">
        <f t="shared" si="28"/>
        <v>6.3954697108310148</v>
      </c>
      <c r="BE25" s="33">
        <f t="shared" si="28"/>
        <v>11.784648352802943</v>
      </c>
      <c r="BF25" s="33">
        <f t="shared" si="28"/>
        <v>10.672923789424949</v>
      </c>
      <c r="BG25" s="34">
        <f t="shared" si="28"/>
        <v>7.0339877525195886</v>
      </c>
      <c r="BH25" s="33">
        <f t="shared" si="28"/>
        <v>12.55945758087482</v>
      </c>
      <c r="BI25" s="33">
        <f t="shared" si="28"/>
        <v>9.5121625520197295</v>
      </c>
      <c r="BJ25" s="34">
        <f t="shared" si="28"/>
        <v>6.3077580577532597</v>
      </c>
      <c r="BK25" s="33">
        <f t="shared" si="28"/>
        <v>11.173422134105854</v>
      </c>
      <c r="BL25" s="33">
        <f t="shared" si="28"/>
        <v>10.426786837759014</v>
      </c>
      <c r="BM25" s="34">
        <f t="shared" si="28"/>
        <v>6.8957828044629803</v>
      </c>
      <c r="BN25" s="33">
        <f t="shared" si="28"/>
        <v>12.25736543518436</v>
      </c>
      <c r="BO25" s="33">
        <f t="shared" si="28"/>
        <v>10.34866167837326</v>
      </c>
      <c r="BP25" s="34">
        <f t="shared" si="28"/>
        <v>6.6270424752951582</v>
      </c>
      <c r="BQ25" s="33">
        <f t="shared" si="28"/>
        <v>12.278060907793732</v>
      </c>
      <c r="BR25" s="33">
        <f t="shared" si="28"/>
        <v>9.7956262401219139</v>
      </c>
      <c r="BS25" s="34">
        <f t="shared" si="28"/>
        <v>6.3772234888459955</v>
      </c>
      <c r="BT25" s="33">
        <f t="shared" si="28"/>
        <v>11.5678289492829</v>
      </c>
      <c r="BU25" s="33">
        <f t="shared" si="28"/>
        <v>9.825177038647352</v>
      </c>
      <c r="BV25" s="34">
        <f t="shared" si="28"/>
        <v>6.2597869560106174</v>
      </c>
      <c r="BW25" s="33">
        <f t="shared" si="28"/>
        <v>11.673582397350661</v>
      </c>
      <c r="BX25" s="33">
        <f t="shared" si="28"/>
        <v>9.475301167190942</v>
      </c>
      <c r="BY25" s="34">
        <f t="shared" si="28"/>
        <v>6.2002008276931928</v>
      </c>
      <c r="BZ25" s="33">
        <f t="shared" si="28"/>
        <v>11.173211599852976</v>
      </c>
    </row>
    <row r="26" spans="1:78" ht="14.25" customHeight="1" x14ac:dyDescent="0.25">
      <c r="A26" s="1"/>
      <c r="B26" s="2" t="s">
        <v>56</v>
      </c>
      <c r="C26" s="2"/>
      <c r="D26" s="2"/>
      <c r="E26" s="2"/>
      <c r="F26" s="2"/>
      <c r="G26" s="2"/>
      <c r="H26" s="2"/>
      <c r="I26" s="35"/>
      <c r="J26" s="2"/>
      <c r="K26" s="2"/>
      <c r="L26" s="2"/>
      <c r="M26" s="2"/>
      <c r="N26" s="2"/>
      <c r="O26" s="2"/>
      <c r="P26" s="2"/>
      <c r="Q26" s="2"/>
      <c r="R26" s="2"/>
      <c r="S26" s="36"/>
      <c r="T26" s="2">
        <v>5</v>
      </c>
      <c r="U26" s="2">
        <v>10</v>
      </c>
      <c r="V26" s="2"/>
      <c r="W26" s="2">
        <v>5</v>
      </c>
      <c r="X26" s="2">
        <v>10</v>
      </c>
      <c r="Y26" s="2"/>
      <c r="Z26" s="2">
        <v>5</v>
      </c>
      <c r="AA26" s="2">
        <v>10</v>
      </c>
      <c r="AB26" s="2"/>
      <c r="AC26" s="2">
        <v>5</v>
      </c>
      <c r="AD26" s="2">
        <v>10</v>
      </c>
      <c r="AE26" s="2"/>
      <c r="AF26" s="2">
        <v>5</v>
      </c>
      <c r="AG26" s="2">
        <v>10</v>
      </c>
      <c r="AH26" s="2"/>
      <c r="AI26" s="2">
        <v>5</v>
      </c>
      <c r="AJ26" s="2">
        <v>10</v>
      </c>
      <c r="AK26" s="2"/>
      <c r="AL26" s="2">
        <v>5</v>
      </c>
      <c r="AM26" s="2">
        <v>10</v>
      </c>
      <c r="AN26" s="2"/>
      <c r="AO26" s="2">
        <v>5</v>
      </c>
      <c r="AP26" s="2">
        <v>10</v>
      </c>
      <c r="AR26" s="2">
        <v>5</v>
      </c>
      <c r="AS26" s="2">
        <v>10</v>
      </c>
      <c r="AU26" s="2">
        <v>6</v>
      </c>
      <c r="AV26" s="2">
        <v>10</v>
      </c>
      <c r="AX26" s="2">
        <v>6</v>
      </c>
      <c r="AY26" s="2">
        <v>10</v>
      </c>
      <c r="BA26" s="2">
        <v>6</v>
      </c>
      <c r="BB26" s="2">
        <v>10</v>
      </c>
      <c r="BD26" s="2">
        <v>6</v>
      </c>
      <c r="BE26" s="2">
        <v>10</v>
      </c>
      <c r="BG26" s="2">
        <v>6</v>
      </c>
      <c r="BH26" s="2">
        <v>10</v>
      </c>
      <c r="BJ26" s="2">
        <v>6</v>
      </c>
      <c r="BK26" s="2">
        <v>10</v>
      </c>
      <c r="BM26" s="2">
        <v>6</v>
      </c>
      <c r="BN26" s="2">
        <v>10</v>
      </c>
      <c r="BP26" s="2">
        <v>6</v>
      </c>
      <c r="BQ26" s="2">
        <v>12</v>
      </c>
      <c r="BS26" s="2">
        <v>6</v>
      </c>
      <c r="BT26" s="2">
        <v>12</v>
      </c>
      <c r="BV26" s="2">
        <v>6</v>
      </c>
      <c r="BW26" s="2">
        <v>12</v>
      </c>
      <c r="BY26" s="2">
        <v>6</v>
      </c>
      <c r="BZ26" s="2">
        <v>12</v>
      </c>
    </row>
    <row r="27" spans="1:78" ht="14.25" customHeight="1" x14ac:dyDescent="0.25">
      <c r="A27" s="1"/>
      <c r="B27" s="2" t="s">
        <v>57</v>
      </c>
      <c r="C27" s="2"/>
      <c r="D27" s="2"/>
      <c r="E27" s="2"/>
      <c r="F27" s="2"/>
      <c r="G27" s="2"/>
      <c r="H27" s="2"/>
      <c r="I27" s="2" t="s">
        <v>36</v>
      </c>
      <c r="J27" s="2" t="s">
        <v>37</v>
      </c>
      <c r="K27" s="2"/>
      <c r="L27" s="2"/>
      <c r="M27" s="2"/>
      <c r="N27" s="2"/>
      <c r="O27" s="2"/>
      <c r="P27" s="2"/>
      <c r="Q27" s="2"/>
      <c r="R27" s="2"/>
      <c r="S27" s="2"/>
      <c r="T27" s="37">
        <f t="shared" ref="T27:U27" si="29">T26-T25</f>
        <v>-5.5257935416896942E-3</v>
      </c>
      <c r="U27" s="37">
        <f t="shared" si="29"/>
        <v>1.6305622820874284</v>
      </c>
      <c r="V27" s="2"/>
      <c r="W27" s="37">
        <f t="shared" ref="W27:X27" si="30">W26-W25</f>
        <v>-0.95916141701771629</v>
      </c>
      <c r="X27" s="37">
        <f t="shared" si="30"/>
        <v>0.36499854419233202</v>
      </c>
      <c r="Y27" s="2"/>
      <c r="Z27" s="37">
        <f t="shared" ref="Z27:AA27" si="31">Z26-Z25</f>
        <v>-1.1557283924886121</v>
      </c>
      <c r="AA27" s="37">
        <f t="shared" si="31"/>
        <v>0.33693316713062238</v>
      </c>
      <c r="AB27" s="2"/>
      <c r="AC27" s="37">
        <f t="shared" ref="AC27:AD27" si="32">AC26-AC25</f>
        <v>-0.86831994109252353</v>
      </c>
      <c r="AD27" s="37">
        <f t="shared" si="32"/>
        <v>0.72151845892589783</v>
      </c>
      <c r="AE27" s="2"/>
      <c r="AF27" s="37">
        <f t="shared" ref="AF27:AG27" si="33">AF26-AF25</f>
        <v>-1.3343474018816464</v>
      </c>
      <c r="AG27" s="37">
        <f t="shared" si="33"/>
        <v>0.88203684835540663</v>
      </c>
      <c r="AH27" s="2"/>
      <c r="AI27" s="37">
        <f t="shared" ref="AI27:AJ27" si="34">AI26-AI25</f>
        <v>-0.90268088964217874</v>
      </c>
      <c r="AJ27" s="37">
        <f t="shared" si="34"/>
        <v>1.1714963241751715</v>
      </c>
      <c r="AK27" s="2"/>
      <c r="AL27" s="37">
        <f t="shared" ref="AL27:AM27" si="35">AL26-AL25</f>
        <v>-1.2396783566363947</v>
      </c>
      <c r="AM27" s="37">
        <f t="shared" si="35"/>
        <v>0.65631696107119275</v>
      </c>
      <c r="AN27" s="38"/>
      <c r="AO27" s="37">
        <f t="shared" ref="AO27:AP27" si="36">AO26-AO25</f>
        <v>-0.88147640785701942</v>
      </c>
      <c r="AP27" s="37">
        <f t="shared" si="36"/>
        <v>-0.167247783089433</v>
      </c>
      <c r="AR27" s="37">
        <f t="shared" ref="AR27:AS27" si="37">AR26-AR25</f>
        <v>-0.73699433497082811</v>
      </c>
      <c r="AS27" s="37">
        <f t="shared" si="37"/>
        <v>0.57399185879021175</v>
      </c>
      <c r="AU27" s="37">
        <f t="shared" ref="AU27:AV27" si="38">AU26-AU25</f>
        <v>0.30611499954437704</v>
      </c>
      <c r="AV27" s="37">
        <f t="shared" si="38"/>
        <v>0.85801546238754156</v>
      </c>
      <c r="AX27" s="37">
        <f t="shared" ref="AX27:AY27" si="39">AX26-AX25</f>
        <v>0.28771642753775861</v>
      </c>
      <c r="AY27" s="37">
        <f t="shared" si="39"/>
        <v>0.92864388898447991</v>
      </c>
      <c r="BA27" s="37">
        <f t="shared" ref="BA27:BB27" si="40">BA26-BA25</f>
        <v>-2.8257043184201081E-3</v>
      </c>
      <c r="BB27" s="37">
        <f t="shared" si="40"/>
        <v>-4.8875854944016695E-2</v>
      </c>
      <c r="BD27" s="37">
        <f t="shared" ref="BD27:BE27" si="41">BD26-BD25</f>
        <v>-0.39546971083101479</v>
      </c>
      <c r="BE27" s="37">
        <f t="shared" si="41"/>
        <v>-1.7846483528029431</v>
      </c>
      <c r="BG27" s="37">
        <f t="shared" ref="BG27:BH27" si="42">BG26-BG25</f>
        <v>-1.0339877525195886</v>
      </c>
      <c r="BH27" s="37">
        <f t="shared" si="42"/>
        <v>-2.5594575808748203</v>
      </c>
      <c r="BJ27" s="37">
        <f t="shared" ref="BJ27:BK27" si="43">BJ26-BJ25</f>
        <v>-0.30775805775325971</v>
      </c>
      <c r="BK27" s="37">
        <f t="shared" si="43"/>
        <v>-1.1734221341058539</v>
      </c>
      <c r="BL27" s="39">
        <f>BJ27+BG27+BD27+BA27+AX27+AU27</f>
        <v>-1.1462097983401476</v>
      </c>
      <c r="BM27" s="37">
        <f t="shared" ref="BM27:BN27" si="44">BM26-BM25</f>
        <v>-0.89578280446298031</v>
      </c>
      <c r="BN27" s="37">
        <f t="shared" si="44"/>
        <v>-2.2573654351843597</v>
      </c>
      <c r="BP27" s="37">
        <f t="shared" ref="BP27:BQ27" si="45">BP26-BP25</f>
        <v>-0.62704247529515822</v>
      </c>
      <c r="BQ27" s="37">
        <f t="shared" si="45"/>
        <v>-0.27806090779373172</v>
      </c>
      <c r="BS27" s="37">
        <f t="shared" ref="BS27:BT27" si="46">BS26-BS25</f>
        <v>-0.37722348884599555</v>
      </c>
      <c r="BT27" s="37">
        <f t="shared" si="46"/>
        <v>0.43217105071710016</v>
      </c>
      <c r="BV27" s="37">
        <f t="shared" ref="BV27:BW27" si="47">BV26-BV25</f>
        <v>-0.25978695601061741</v>
      </c>
      <c r="BW27" s="37">
        <f t="shared" si="47"/>
        <v>0.3264176026493395</v>
      </c>
      <c r="BY27" s="37">
        <f t="shared" ref="BY27:BZ27" si="48">BY26-BY25</f>
        <v>-0.20020082769319281</v>
      </c>
      <c r="BZ27" s="37">
        <f t="shared" si="48"/>
        <v>0.82678840014702359</v>
      </c>
    </row>
    <row r="28" spans="1:78" ht="14.25" customHeight="1" x14ac:dyDescent="0.25">
      <c r="A28" s="1"/>
      <c r="B28" s="2" t="s">
        <v>58</v>
      </c>
      <c r="C28" s="2"/>
      <c r="D28" s="2"/>
      <c r="E28" s="2"/>
      <c r="G28" s="2" t="s">
        <v>59</v>
      </c>
      <c r="H28" s="2" t="s">
        <v>60</v>
      </c>
      <c r="I28" s="2">
        <v>5.77</v>
      </c>
      <c r="J28" s="2">
        <v>5.77</v>
      </c>
      <c r="K28" s="2"/>
      <c r="L28" s="2"/>
      <c r="M28" s="2"/>
      <c r="N28" s="2"/>
      <c r="O28" s="2"/>
      <c r="P28" s="2"/>
      <c r="Q28" s="2"/>
      <c r="R28" s="2"/>
      <c r="S28" s="2"/>
      <c r="T28" s="40">
        <f t="shared" ref="T28:U28" si="49">T7*T27</f>
        <v>-925.86881108427497</v>
      </c>
      <c r="U28" s="40">
        <f t="shared" si="49"/>
        <v>526989.57675924641</v>
      </c>
      <c r="V28" s="2"/>
      <c r="W28" s="40">
        <f t="shared" ref="W28:X28" si="50">W7*W27</f>
        <v>-160711.33206698645</v>
      </c>
      <c r="X28" s="40">
        <f t="shared" si="50"/>
        <v>117965.70449024075</v>
      </c>
      <c r="Y28" s="41"/>
      <c r="Z28" s="40">
        <f t="shared" ref="Z28:AA28" si="51">Z7*Z27</f>
        <v>-193646.91507503693</v>
      </c>
      <c r="AA28" s="40">
        <f t="shared" si="51"/>
        <v>108895.1149507815</v>
      </c>
      <c r="AB28" s="2"/>
      <c r="AC28" s="40">
        <f t="shared" ref="AC28:AD28" si="52">AC7*AC27</f>
        <v>-145490.47940981667</v>
      </c>
      <c r="AD28" s="40">
        <f t="shared" si="52"/>
        <v>233191.15833255555</v>
      </c>
      <c r="AE28" s="2"/>
      <c r="AF28" s="40">
        <f t="shared" ref="AF28:AG28" si="53">AF7*AF27</f>
        <v>-223575.24457487738</v>
      </c>
      <c r="AG28" s="40">
        <f t="shared" si="53"/>
        <v>285069.89920422563</v>
      </c>
      <c r="AH28" s="2"/>
      <c r="AI28" s="40">
        <f t="shared" ref="AI28:AJ28" si="54">AI7*AI27</f>
        <v>-151247.79378310562</v>
      </c>
      <c r="AJ28" s="40">
        <f t="shared" si="54"/>
        <v>378621.75449179456</v>
      </c>
      <c r="AK28" s="2"/>
      <c r="AL28" s="40">
        <f t="shared" ref="AL28:AM28" si="55">AL7*AL27</f>
        <v>-207713.06736785447</v>
      </c>
      <c r="AM28" s="40">
        <f t="shared" si="55"/>
        <v>212118.36023340415</v>
      </c>
      <c r="AN28" s="37"/>
      <c r="AO28" s="40">
        <f t="shared" ref="AO28:AP28" si="56">AO7*AO27</f>
        <v>-147694.89804207504</v>
      </c>
      <c r="AP28" s="40">
        <f t="shared" si="56"/>
        <v>-54053.647255589298</v>
      </c>
      <c r="AR28" s="40">
        <f t="shared" ref="AR28:AS28" si="57">AR7*AR27</f>
        <v>-123486.34880170213</v>
      </c>
      <c r="AS28" s="40">
        <f t="shared" si="57"/>
        <v>185511.29880170248</v>
      </c>
      <c r="AU28" s="40">
        <f t="shared" ref="AU28:AV28" si="58">AU7*AU27</f>
        <v>51290.792633658551</v>
      </c>
      <c r="AV28" s="40">
        <f t="shared" si="58"/>
        <v>277306.30736634147</v>
      </c>
      <c r="AX28" s="40">
        <f t="shared" ref="AX28:AY28" si="59">AX7*AX27</f>
        <v>48208.03829966161</v>
      </c>
      <c r="AY28" s="40">
        <f t="shared" si="59"/>
        <v>300133.06170033896</v>
      </c>
      <c r="BA28" s="40">
        <f t="shared" ref="BA28:BB28" si="60">BA7*BA27</f>
        <v>-473.45806136856277</v>
      </c>
      <c r="BB28" s="40">
        <f t="shared" si="60"/>
        <v>-15796.431938631476</v>
      </c>
      <c r="BD28" s="40">
        <f t="shared" ref="BD28:BE28" si="61">BD7*BD27</f>
        <v>-66262.531928579847</v>
      </c>
      <c r="BE28" s="40">
        <f t="shared" si="61"/>
        <v>-576789.42438414716</v>
      </c>
      <c r="BG28" s="40">
        <f t="shared" ref="BG28:BH28" si="62">BG7*BG27</f>
        <v>-173248.78388566716</v>
      </c>
      <c r="BH28" s="40">
        <f t="shared" si="62"/>
        <v>-827203.89285083755</v>
      </c>
      <c r="BJ28" s="40">
        <f t="shared" ref="BJ28:BK28" si="63">BJ7*BJ27</f>
        <v>-51566.093608789677</v>
      </c>
      <c r="BK28" s="40">
        <f t="shared" si="63"/>
        <v>-379244.16663234145</v>
      </c>
      <c r="BM28" s="40">
        <f t="shared" ref="BM28:BN28" si="64">BM7*BM27</f>
        <v>-150091.99201899019</v>
      </c>
      <c r="BN28" s="40">
        <f t="shared" si="64"/>
        <v>-729569.22182440909</v>
      </c>
      <c r="BP28" s="40">
        <f t="shared" ref="BP28:BQ28" si="65">BP7*BP27</f>
        <v>-105063.47490560493</v>
      </c>
      <c r="BQ28" s="40">
        <f t="shared" si="65"/>
        <v>-89867.89509439512</v>
      </c>
      <c r="BS28" s="40">
        <f t="shared" ref="BS28:BT28" si="66">BS7*BS27</f>
        <v>-63205.304450101939</v>
      </c>
      <c r="BT28" s="40">
        <f t="shared" si="66"/>
        <v>139675.52273651317</v>
      </c>
      <c r="BV28" s="40">
        <f t="shared" ref="BV28:BW28" si="67">BV7*BV27</f>
        <v>-43528.343627402988</v>
      </c>
      <c r="BW28" s="40">
        <f t="shared" si="67"/>
        <v>105496.53708825327</v>
      </c>
      <c r="BY28" s="40">
        <f t="shared" ref="BY28:BZ28" si="68">BY7*BY27</f>
        <v>-33544.44948330523</v>
      </c>
      <c r="BZ28" s="40">
        <f t="shared" si="68"/>
        <v>267213.87698551727</v>
      </c>
    </row>
    <row r="29" spans="1:78" ht="14.25" customHeight="1" x14ac:dyDescent="0.25">
      <c r="A29" s="1"/>
      <c r="B29" s="2"/>
      <c r="C29" s="2"/>
      <c r="D29" s="2"/>
      <c r="E29" s="2"/>
      <c r="F29" s="2"/>
      <c r="G29" s="2" t="s">
        <v>61</v>
      </c>
      <c r="H29" s="2" t="s">
        <v>60</v>
      </c>
      <c r="I29" s="2">
        <v>5.39</v>
      </c>
      <c r="J29" s="2"/>
      <c r="K29" s="37"/>
      <c r="L29" s="37"/>
      <c r="M29" s="37"/>
      <c r="N29" s="37"/>
      <c r="O29" s="2"/>
      <c r="P29" s="2"/>
      <c r="Q29" s="2"/>
      <c r="R29" s="2"/>
      <c r="S29" s="2"/>
      <c r="T29" s="2"/>
      <c r="U29" s="2"/>
      <c r="V29" s="2"/>
      <c r="W29" s="2"/>
      <c r="X29" s="2"/>
      <c r="Y29" s="41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BD29" s="42">
        <v>6.22</v>
      </c>
      <c r="BE29" s="42">
        <v>11.6</v>
      </c>
      <c r="BG29" s="42">
        <v>6.86</v>
      </c>
      <c r="BH29" s="42">
        <v>12.38</v>
      </c>
      <c r="BJ29" s="42">
        <v>6.4</v>
      </c>
      <c r="BK29" s="42">
        <v>10.92</v>
      </c>
      <c r="BM29" s="42">
        <v>6.71</v>
      </c>
      <c r="BN29" s="42">
        <v>12.97</v>
      </c>
      <c r="BP29" s="42">
        <v>6.91</v>
      </c>
      <c r="BQ29" s="42">
        <v>13.15</v>
      </c>
      <c r="BS29" s="42">
        <v>6.31</v>
      </c>
      <c r="BT29" s="42">
        <v>11.3</v>
      </c>
      <c r="BV29" s="42">
        <v>6.08</v>
      </c>
      <c r="BW29" s="42">
        <v>11.49</v>
      </c>
      <c r="BY29" s="42">
        <v>5.92</v>
      </c>
      <c r="BZ29" s="42">
        <v>10.99</v>
      </c>
    </row>
    <row r="30" spans="1:78" ht="14.25" customHeight="1" x14ac:dyDescent="0.25">
      <c r="A30" s="1"/>
      <c r="B30" s="2"/>
      <c r="C30" s="2"/>
      <c r="D30" s="2"/>
      <c r="E30" s="2"/>
      <c r="F30" s="2"/>
      <c r="G30" s="2"/>
      <c r="H30" s="2" t="s">
        <v>60</v>
      </c>
      <c r="I30" s="2">
        <v>5.5780000000000003</v>
      </c>
      <c r="J30" s="2"/>
      <c r="K30" s="2">
        <v>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4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BD30" s="43">
        <f t="shared" ref="BD30:BE30" si="69">BD25-BD29</f>
        <v>0.17546971083101504</v>
      </c>
      <c r="BE30" s="43">
        <f t="shared" si="69"/>
        <v>0.18464835280294345</v>
      </c>
      <c r="BG30" s="43">
        <f t="shared" ref="BG30:BH30" si="70">BG25-BG29</f>
        <v>0.17398775251958831</v>
      </c>
      <c r="BH30" s="43">
        <f t="shared" si="70"/>
        <v>0.17945758087481956</v>
      </c>
      <c r="BJ30" s="43">
        <f t="shared" ref="BJ30:BK30" si="71">BJ25-BJ29</f>
        <v>-9.2241942246740649E-2</v>
      </c>
      <c r="BK30" s="43">
        <f t="shared" si="71"/>
        <v>0.25342213410585401</v>
      </c>
      <c r="BM30" s="43">
        <f t="shared" ref="BM30:BN30" si="72">BM25-BM29</f>
        <v>0.18578280446298034</v>
      </c>
      <c r="BN30" s="43">
        <f t="shared" si="72"/>
        <v>-0.71263456481564091</v>
      </c>
      <c r="BP30" s="43">
        <f t="shared" ref="BP30:BQ30" si="73">BP25-BP29</f>
        <v>-0.28295752470484192</v>
      </c>
      <c r="BQ30" s="43">
        <f t="shared" si="73"/>
        <v>-0.87193909220626864</v>
      </c>
      <c r="BS30" s="43">
        <f t="shared" ref="BS30:BT30" si="74">BS25-BS29</f>
        <v>6.7223488845995938E-2</v>
      </c>
      <c r="BT30" s="43">
        <f t="shared" si="74"/>
        <v>0.26782894928289913</v>
      </c>
      <c r="BV30" s="43">
        <f t="shared" ref="BV30:BW30" si="75">BV25-BV29</f>
        <v>0.17978695601061734</v>
      </c>
      <c r="BW30" s="43">
        <f t="shared" si="75"/>
        <v>0.18358239735066029</v>
      </c>
      <c r="BY30" s="43">
        <f t="shared" ref="BY30:BZ30" si="76">BY25-BY29</f>
        <v>0.28020082769319288</v>
      </c>
      <c r="BZ30" s="43">
        <f t="shared" si="76"/>
        <v>0.18321159985297619</v>
      </c>
    </row>
    <row r="31" spans="1:78" ht="14.25" customHeight="1" x14ac:dyDescent="0.25">
      <c r="A31" s="1"/>
      <c r="B31" s="2"/>
      <c r="C31" s="2"/>
      <c r="D31" s="2"/>
      <c r="E31" s="2"/>
      <c r="F31" s="2"/>
      <c r="G31" s="2"/>
      <c r="H31" s="2"/>
      <c r="I31" s="2">
        <f>0.58*167554*12</f>
        <v>1166175.8399999999</v>
      </c>
      <c r="J31" s="2"/>
      <c r="K31" s="37">
        <f>AVERAGE(K25,N25,Q25,T25,W25,Z25,AC25,AF25,AI25)</f>
        <v>5.6877455907471068</v>
      </c>
      <c r="L31" s="2" t="s">
        <v>62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1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BD31" s="44"/>
      <c r="BG31" s="44"/>
      <c r="BJ31" s="44"/>
      <c r="BM31" s="44"/>
      <c r="BP31" s="44"/>
      <c r="BS31" s="44"/>
      <c r="BV31" s="44"/>
      <c r="BX31" s="45"/>
      <c r="BY31" s="44"/>
    </row>
    <row r="32" spans="1:78" ht="14.25" customHeight="1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37">
        <f>K30-K31</f>
        <v>0.31225440925289316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ht="14.25" customHeight="1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4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ht="14.25" customHeight="1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ht="14.25" customHeight="1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ht="14.25" customHeight="1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ht="14.25" customHeight="1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 ht="14.25" customHeight="1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ht="14.25" customHeight="1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ht="14.25" customHeight="1" x14ac:dyDescent="0.2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ht="14.25" customHeight="1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 ht="14.25" customHeight="1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ht="14.25" customHeight="1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 ht="14.25" customHeight="1" x14ac:dyDescent="0.2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ht="14.25" customHeight="1" x14ac:dyDescent="0.2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 ht="14.25" customHeight="1" x14ac:dyDescent="0.2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 ht="14.25" customHeight="1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 ht="14.25" customHeight="1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 ht="14.25" customHeight="1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 ht="14.25" customHeight="1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 ht="14.25" customHeight="1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 ht="14.25" customHeight="1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 ht="14.25" customHeight="1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 ht="14.25" customHeight="1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 ht="14.25" customHeight="1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ht="14.25" customHeight="1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ht="14.25" customHeight="1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ht="14.25" customHeight="1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ht="14.25" customHeight="1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ht="14.25" customHeight="1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ht="14.25" customHeight="1" x14ac:dyDescent="0.2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ht="14.25" customHeight="1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ht="14.25" customHeight="1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ht="14.25" customHeight="1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ht="14.25" customHeight="1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ht="14.25" customHeight="1" x14ac:dyDescent="0.2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ht="14.25" customHeight="1" x14ac:dyDescent="0.2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ht="14.25" customHeight="1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ht="14.25" customHeight="1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ht="14.25" customHeight="1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ht="14.25" customHeight="1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ht="14.25" customHeight="1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ht="14.25" customHeight="1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ht="14.25" customHeight="1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ht="14.25" customHeight="1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ht="14.25" customHeight="1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ht="14.25" customHeight="1" x14ac:dyDescent="0.2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ht="14.25" customHeight="1" x14ac:dyDescent="0.2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ht="14.25" customHeight="1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ht="14.25" customHeight="1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:42" ht="14.25" customHeight="1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ht="14.25" customHeight="1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ht="14.25" customHeight="1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ht="14.25" customHeight="1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ht="14.25" customHeight="1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ht="14.25" customHeight="1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ht="14.25" customHeight="1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ht="14.25" customHeight="1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ht="14.25" customHeight="1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ht="14.25" customHeight="1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ht="14.2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ht="14.25" customHeight="1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ht="14.25" customHeight="1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ht="14.25" customHeight="1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ht="14.25" customHeight="1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ht="14.25" customHeight="1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ht="14.25" customHeight="1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ht="14.25" customHeight="1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ht="14.25" customHeight="1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ht="14.25" customHeight="1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ht="14.25" customHeight="1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ht="14.25" customHeight="1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ht="14.25" customHeight="1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ht="14.25" customHeight="1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ht="14.25" customHeight="1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ht="14.25" customHeight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ht="14.25" customHeight="1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ht="14.25" customHeight="1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ht="14.25" customHeight="1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ht="14.25" customHeight="1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ht="14.25" customHeight="1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ht="14.25" customHeight="1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ht="14.25" customHeight="1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ht="14.25" customHeight="1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ht="14.25" customHeight="1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ht="14.25" customHeight="1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ht="14.25" customHeight="1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ht="14.25" customHeight="1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ht="14.25" customHeight="1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ht="14.25" customHeight="1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ht="14.25" customHeight="1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ht="14.25" customHeight="1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ht="14.25" customHeight="1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ht="14.25" customHeight="1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ht="14.25" customHeight="1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ht="14.25" customHeight="1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ht="14.25" customHeight="1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ht="14.25" customHeight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ht="14.25" customHeight="1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ht="14.25" customHeight="1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ht="14.25" customHeight="1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ht="14.25" customHeight="1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ht="14.25" customHeight="1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ht="14.25" customHeight="1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ht="14.25" customHeight="1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ht="14.25" customHeight="1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ht="14.25" customHeight="1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ht="14.25" customHeight="1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ht="14.25" customHeight="1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ht="14.25" customHeight="1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ht="14.25" customHeight="1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ht="14.25" customHeight="1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ht="14.25" customHeight="1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ht="14.25" customHeight="1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ht="14.25" customHeight="1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ht="14.25" customHeight="1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ht="14.25" customHeight="1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ht="14.25" customHeight="1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ht="14.25" customHeight="1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ht="14.25" customHeight="1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ht="14.25" customHeight="1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ht="14.25" customHeight="1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ht="14.25" customHeight="1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ht="14.25" customHeight="1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ht="14.25" customHeight="1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ht="14.25" customHeight="1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ht="14.25" customHeight="1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ht="14.25" customHeight="1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ht="14.25" customHeight="1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ht="14.25" customHeight="1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ht="14.25" customHeight="1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ht="14.25" customHeight="1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ht="14.25" customHeight="1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ht="14.25" customHeight="1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ht="14.25" customHeight="1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ht="14.25" customHeight="1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ht="14.25" customHeight="1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ht="14.25" customHeight="1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ht="14.25" customHeight="1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ht="14.25" customHeight="1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ht="14.25" customHeight="1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ht="14.25" customHeight="1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ht="14.25" customHeight="1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ht="14.25" customHeight="1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ht="14.25" customHeight="1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ht="14.25" customHeight="1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ht="14.25" customHeight="1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ht="14.25" customHeight="1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ht="14.25" customHeight="1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ht="14.25" customHeight="1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ht="14.25" customHeight="1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ht="14.25" customHeight="1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ht="14.25" customHeight="1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ht="14.25" customHeight="1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ht="14.25" customHeight="1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ht="14.25" customHeight="1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ht="14.25" customHeight="1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ht="14.25" customHeight="1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ht="14.25" customHeight="1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ht="14.25" customHeight="1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ht="14.25" customHeight="1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ht="14.25" customHeight="1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ht="14.25" customHeight="1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ht="14.25" customHeight="1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ht="14.25" customHeight="1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ht="14.25" customHeight="1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ht="14.25" customHeight="1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ht="14.25" customHeight="1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ht="14.25" customHeight="1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ht="14.25" customHeight="1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ht="14.25" customHeight="1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ht="14.25" customHeight="1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ht="14.25" customHeight="1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ht="14.25" customHeight="1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ht="14.25" customHeight="1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ht="14.25" customHeight="1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ht="14.25" customHeight="1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ht="14.25" customHeight="1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ht="14.25" customHeight="1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ht="14.25" customHeight="1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ht="14.25" customHeight="1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ht="14.25" customHeight="1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ht="14.25" customHeight="1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ht="14.25" customHeight="1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ht="14.25" customHeight="1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ht="14.25" customHeight="1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ht="14.25" customHeight="1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ht="14.25" customHeight="1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ht="14.25" customHeight="1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ht="14.25" customHeight="1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ht="14.25" customHeight="1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ht="14.25" customHeight="1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ht="14.25" customHeight="1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ht="14.25" customHeight="1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ht="14.25" customHeight="1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ht="14.25" customHeight="1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ht="14.25" customHeight="1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ht="14.25" customHeight="1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ht="15.75" customHeight="1" x14ac:dyDescent="0.25"/>
    <row r="230" spans="1:42" ht="15.75" customHeight="1" x14ac:dyDescent="0.25"/>
    <row r="231" spans="1:42" ht="15.75" customHeight="1" x14ac:dyDescent="0.25"/>
    <row r="232" spans="1:42" ht="15.75" customHeight="1" x14ac:dyDescent="0.25"/>
    <row r="233" spans="1:42" ht="15.75" customHeight="1" x14ac:dyDescent="0.25"/>
    <row r="234" spans="1:42" ht="15.75" customHeight="1" x14ac:dyDescent="0.25"/>
    <row r="235" spans="1:42" ht="15.75" customHeight="1" x14ac:dyDescent="0.25"/>
    <row r="236" spans="1:42" ht="15.75" customHeight="1" x14ac:dyDescent="0.25"/>
    <row r="237" spans="1:42" ht="15.75" customHeight="1" x14ac:dyDescent="0.25"/>
    <row r="238" spans="1:42" ht="15.75" customHeight="1" x14ac:dyDescent="0.25"/>
    <row r="239" spans="1:42" ht="15.75" customHeight="1" x14ac:dyDescent="0.25"/>
    <row r="240" spans="1:4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U5:BW5"/>
    <mergeCell ref="BX5:BZ5"/>
    <mergeCell ref="AH5:AJ5"/>
    <mergeCell ref="AK5:AM5"/>
    <mergeCell ref="AQ5:AS5"/>
    <mergeCell ref="AT5:AV5"/>
    <mergeCell ref="AW5:AY5"/>
    <mergeCell ref="AZ5:BB5"/>
    <mergeCell ref="BC5:BE5"/>
    <mergeCell ref="BF5:BH5"/>
    <mergeCell ref="BI5:BK5"/>
    <mergeCell ref="BL5:BN5"/>
    <mergeCell ref="BO5:BQ5"/>
    <mergeCell ref="BR5:BT5"/>
    <mergeCell ref="AB5:AD5"/>
    <mergeCell ref="AE5:AG5"/>
    <mergeCell ref="A3:AP3"/>
    <mergeCell ref="J5:L5"/>
    <mergeCell ref="M5:O5"/>
    <mergeCell ref="P5:R5"/>
    <mergeCell ref="S5:U5"/>
    <mergeCell ref="V5:X5"/>
    <mergeCell ref="Y5:AA5"/>
    <mergeCell ref="AN5:AP5"/>
  </mergeCell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38.7109375" customWidth="1"/>
    <col min="3" max="5" width="15" customWidth="1"/>
    <col min="6" max="6" width="43.85546875" customWidth="1"/>
    <col min="7" max="7" width="8.85546875" customWidth="1"/>
    <col min="8" max="8" width="9.5703125" customWidth="1"/>
    <col min="9" max="17" width="8.85546875" customWidth="1"/>
    <col min="18" max="26" width="8.7109375" customWidth="1"/>
  </cols>
  <sheetData>
    <row r="1" spans="1:26" ht="19.5" customHeight="1" x14ac:dyDescent="0.25">
      <c r="A1" s="377" t="s">
        <v>63</v>
      </c>
      <c r="B1" s="374"/>
      <c r="C1" s="374"/>
      <c r="D1" s="374"/>
      <c r="E1" s="374"/>
      <c r="F1" s="375"/>
      <c r="G1" s="47"/>
      <c r="H1" s="48"/>
      <c r="I1" s="48"/>
      <c r="J1" s="48"/>
      <c r="K1" s="48"/>
      <c r="L1" s="48"/>
      <c r="M1" s="48"/>
      <c r="N1" s="48"/>
      <c r="O1" s="48"/>
      <c r="P1" s="48"/>
      <c r="Q1" s="48"/>
      <c r="R1" s="49"/>
      <c r="S1" s="49"/>
      <c r="T1" s="49"/>
      <c r="U1" s="49"/>
      <c r="V1" s="49"/>
      <c r="W1" s="49"/>
      <c r="X1" s="49"/>
      <c r="Y1" s="49"/>
      <c r="Z1" s="49"/>
    </row>
    <row r="2" spans="1:26" ht="14.25" customHeight="1" x14ac:dyDescent="0.25">
      <c r="A2" s="50" t="s">
        <v>64</v>
      </c>
      <c r="B2" s="50" t="s">
        <v>65</v>
      </c>
      <c r="C2" s="50" t="s">
        <v>66</v>
      </c>
      <c r="D2" s="50" t="s">
        <v>67</v>
      </c>
      <c r="E2" s="50" t="s">
        <v>68</v>
      </c>
      <c r="F2" s="50" t="s">
        <v>69</v>
      </c>
      <c r="G2" s="47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  <c r="S2" s="49"/>
      <c r="T2" s="49"/>
      <c r="U2" s="49"/>
      <c r="V2" s="49"/>
      <c r="W2" s="49"/>
      <c r="X2" s="49"/>
      <c r="Y2" s="49"/>
      <c r="Z2" s="49"/>
    </row>
    <row r="3" spans="1:26" ht="14.25" customHeight="1" x14ac:dyDescent="0.25">
      <c r="A3" s="51">
        <v>1</v>
      </c>
      <c r="B3" s="52" t="s">
        <v>70</v>
      </c>
      <c r="C3" s="53">
        <v>126271</v>
      </c>
      <c r="D3" s="53">
        <f t="shared" ref="D3:D5" si="0">C3*18%</f>
        <v>22728.78</v>
      </c>
      <c r="E3" s="53">
        <f t="shared" ref="E3:E21" si="1">C3+D3</f>
        <v>148999.78</v>
      </c>
      <c r="F3" s="54"/>
      <c r="G3" s="47"/>
      <c r="H3" s="48"/>
      <c r="I3" s="48"/>
      <c r="J3" s="48"/>
      <c r="K3" s="48"/>
      <c r="L3" s="48"/>
      <c r="M3" s="48"/>
      <c r="N3" s="48"/>
      <c r="O3" s="48"/>
      <c r="P3" s="48"/>
      <c r="Q3" s="48"/>
      <c r="R3" s="49"/>
      <c r="S3" s="49"/>
      <c r="T3" s="49"/>
      <c r="U3" s="49"/>
      <c r="V3" s="49"/>
      <c r="W3" s="49"/>
      <c r="X3" s="49"/>
      <c r="Y3" s="49"/>
      <c r="Z3" s="49"/>
    </row>
    <row r="4" spans="1:26" ht="14.25" customHeight="1" x14ac:dyDescent="0.25">
      <c r="A4" s="51">
        <v>2</v>
      </c>
      <c r="B4" s="52" t="s">
        <v>71</v>
      </c>
      <c r="C4" s="53">
        <v>274500</v>
      </c>
      <c r="D4" s="53">
        <f t="shared" si="0"/>
        <v>49410</v>
      </c>
      <c r="E4" s="53">
        <f t="shared" si="1"/>
        <v>323910</v>
      </c>
      <c r="F4" s="55" t="s">
        <v>72</v>
      </c>
      <c r="G4" s="47"/>
      <c r="H4" s="48"/>
      <c r="I4" s="48"/>
      <c r="J4" s="48"/>
      <c r="K4" s="48"/>
      <c r="L4" s="48"/>
      <c r="M4" s="48"/>
      <c r="N4" s="48"/>
      <c r="O4" s="48"/>
      <c r="P4" s="48"/>
      <c r="Q4" s="48"/>
      <c r="R4" s="49"/>
      <c r="S4" s="49"/>
      <c r="T4" s="49"/>
      <c r="U4" s="49"/>
      <c r="V4" s="49"/>
      <c r="W4" s="49"/>
      <c r="X4" s="49"/>
      <c r="Y4" s="49"/>
      <c r="Z4" s="49"/>
    </row>
    <row r="5" spans="1:26" ht="14.25" customHeight="1" x14ac:dyDescent="0.25">
      <c r="A5" s="51">
        <v>3</v>
      </c>
      <c r="B5" s="52" t="s">
        <v>73</v>
      </c>
      <c r="C5" s="53">
        <v>5704969</v>
      </c>
      <c r="D5" s="53">
        <f t="shared" si="0"/>
        <v>1026894.4199999999</v>
      </c>
      <c r="E5" s="53">
        <f t="shared" si="1"/>
        <v>6731863.4199999999</v>
      </c>
      <c r="F5" s="54"/>
      <c r="G5" s="47"/>
      <c r="H5" s="48"/>
      <c r="I5" s="48"/>
      <c r="J5" s="48"/>
      <c r="K5" s="48"/>
      <c r="L5" s="48"/>
      <c r="M5" s="48"/>
      <c r="N5" s="48"/>
      <c r="O5" s="48"/>
      <c r="P5" s="48"/>
      <c r="Q5" s="48"/>
      <c r="R5" s="49"/>
      <c r="S5" s="49"/>
      <c r="T5" s="49"/>
      <c r="U5" s="49"/>
      <c r="V5" s="49"/>
      <c r="W5" s="49"/>
      <c r="X5" s="49"/>
      <c r="Y5" s="49"/>
      <c r="Z5" s="49"/>
    </row>
    <row r="6" spans="1:26" ht="14.25" customHeight="1" x14ac:dyDescent="0.25">
      <c r="A6" s="51">
        <v>4</v>
      </c>
      <c r="B6" s="52" t="s">
        <v>74</v>
      </c>
      <c r="C6" s="53">
        <v>49121</v>
      </c>
      <c r="D6" s="53">
        <v>0</v>
      </c>
      <c r="E6" s="53">
        <f t="shared" si="1"/>
        <v>49121</v>
      </c>
      <c r="F6" s="54"/>
      <c r="G6" s="47"/>
      <c r="H6" s="48"/>
      <c r="I6" s="56"/>
      <c r="J6" s="48"/>
      <c r="K6" s="48"/>
      <c r="L6" s="48"/>
      <c r="M6" s="48"/>
      <c r="N6" s="48"/>
      <c r="O6" s="48"/>
      <c r="P6" s="48"/>
      <c r="Q6" s="48"/>
      <c r="R6" s="49"/>
      <c r="S6" s="49"/>
      <c r="T6" s="49"/>
      <c r="U6" s="49"/>
      <c r="V6" s="49"/>
      <c r="W6" s="49"/>
      <c r="X6" s="49"/>
      <c r="Y6" s="49"/>
      <c r="Z6" s="49"/>
    </row>
    <row r="7" spans="1:26" ht="14.25" customHeight="1" x14ac:dyDescent="0.25">
      <c r="A7" s="51">
        <v>5</v>
      </c>
      <c r="B7" s="52" t="s">
        <v>75</v>
      </c>
      <c r="C7" s="53">
        <v>6474617</v>
      </c>
      <c r="D7" s="53">
        <v>0</v>
      </c>
      <c r="E7" s="53">
        <f t="shared" si="1"/>
        <v>6474617</v>
      </c>
      <c r="F7" s="54"/>
      <c r="G7" s="47"/>
      <c r="H7" s="48"/>
      <c r="I7" s="48"/>
      <c r="J7" s="48"/>
      <c r="K7" s="48"/>
      <c r="L7" s="48"/>
      <c r="M7" s="48"/>
      <c r="N7" s="48"/>
      <c r="O7" s="48"/>
      <c r="P7" s="48"/>
      <c r="Q7" s="48"/>
      <c r="R7" s="49"/>
      <c r="S7" s="49"/>
      <c r="T7" s="49"/>
      <c r="U7" s="49"/>
      <c r="V7" s="49"/>
      <c r="W7" s="49"/>
      <c r="X7" s="49"/>
      <c r="Y7" s="49"/>
      <c r="Z7" s="49"/>
    </row>
    <row r="8" spans="1:26" ht="14.25" customHeight="1" x14ac:dyDescent="0.25">
      <c r="A8" s="51">
        <v>6</v>
      </c>
      <c r="B8" s="52" t="s">
        <v>76</v>
      </c>
      <c r="C8" s="53">
        <v>2038031</v>
      </c>
      <c r="D8" s="53">
        <v>0</v>
      </c>
      <c r="E8" s="53">
        <f t="shared" si="1"/>
        <v>2038031</v>
      </c>
      <c r="F8" s="54"/>
      <c r="G8" s="47"/>
      <c r="H8" s="48"/>
      <c r="I8" s="48"/>
      <c r="J8" s="48"/>
      <c r="K8" s="48"/>
      <c r="L8" s="48"/>
      <c r="M8" s="48"/>
      <c r="N8" s="48"/>
      <c r="O8" s="48"/>
      <c r="P8" s="48"/>
      <c r="Q8" s="48"/>
      <c r="R8" s="49"/>
      <c r="S8" s="49"/>
      <c r="T8" s="49"/>
      <c r="U8" s="49"/>
      <c r="V8" s="49"/>
      <c r="W8" s="49"/>
      <c r="X8" s="49"/>
      <c r="Y8" s="49"/>
      <c r="Z8" s="49"/>
    </row>
    <row r="9" spans="1:26" ht="14.25" customHeight="1" x14ac:dyDescent="0.25">
      <c r="A9" s="51">
        <v>7</v>
      </c>
      <c r="B9" s="52" t="s">
        <v>77</v>
      </c>
      <c r="C9" s="53">
        <v>72400</v>
      </c>
      <c r="D9" s="53">
        <f t="shared" ref="D9:D13" si="2">C9*18%</f>
        <v>13032</v>
      </c>
      <c r="E9" s="53">
        <f t="shared" si="1"/>
        <v>85432</v>
      </c>
      <c r="F9" s="57" t="s">
        <v>78</v>
      </c>
      <c r="G9" s="47"/>
      <c r="H9" s="48"/>
      <c r="I9" s="48"/>
      <c r="J9" s="48"/>
      <c r="K9" s="48"/>
      <c r="L9" s="48"/>
      <c r="M9" s="48"/>
      <c r="N9" s="48"/>
      <c r="O9" s="48"/>
      <c r="P9" s="48"/>
      <c r="Q9" s="48"/>
      <c r="R9" s="49"/>
      <c r="S9" s="49"/>
      <c r="T9" s="49"/>
      <c r="U9" s="49"/>
      <c r="V9" s="49"/>
      <c r="W9" s="49"/>
      <c r="X9" s="49"/>
      <c r="Y9" s="49"/>
      <c r="Z9" s="49"/>
    </row>
    <row r="10" spans="1:26" ht="14.25" customHeight="1" x14ac:dyDescent="0.25">
      <c r="A10" s="51">
        <v>8</v>
      </c>
      <c r="B10" s="52" t="s">
        <v>79</v>
      </c>
      <c r="C10" s="53">
        <v>173812</v>
      </c>
      <c r="D10" s="53">
        <f t="shared" si="2"/>
        <v>31286.16</v>
      </c>
      <c r="E10" s="53">
        <f t="shared" si="1"/>
        <v>205098.16</v>
      </c>
      <c r="F10" s="57" t="s">
        <v>78</v>
      </c>
      <c r="G10" s="4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4.25" customHeight="1" x14ac:dyDescent="0.25">
      <c r="A11" s="51">
        <v>9</v>
      </c>
      <c r="B11" s="52" t="s">
        <v>80</v>
      </c>
      <c r="C11" s="53">
        <v>13500</v>
      </c>
      <c r="D11" s="53">
        <f t="shared" si="2"/>
        <v>2430</v>
      </c>
      <c r="E11" s="53">
        <f t="shared" si="1"/>
        <v>15930</v>
      </c>
      <c r="F11" s="57" t="s">
        <v>81</v>
      </c>
      <c r="G11" s="47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4.25" customHeight="1" x14ac:dyDescent="0.25">
      <c r="A12" s="51">
        <v>10</v>
      </c>
      <c r="B12" s="52" t="s">
        <v>82</v>
      </c>
      <c r="C12" s="53">
        <v>132568</v>
      </c>
      <c r="D12" s="53">
        <f t="shared" si="2"/>
        <v>23862.239999999998</v>
      </c>
      <c r="E12" s="53">
        <f t="shared" si="1"/>
        <v>156430.24</v>
      </c>
      <c r="F12" s="57" t="s">
        <v>83</v>
      </c>
      <c r="G12" s="47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4.25" customHeight="1" x14ac:dyDescent="0.25">
      <c r="A13" s="51">
        <v>11</v>
      </c>
      <c r="B13" s="52" t="s">
        <v>84</v>
      </c>
      <c r="C13" s="53">
        <v>49578</v>
      </c>
      <c r="D13" s="53">
        <f t="shared" si="2"/>
        <v>8924.0399999999991</v>
      </c>
      <c r="E13" s="53">
        <f t="shared" si="1"/>
        <v>58502.04</v>
      </c>
      <c r="F13" s="57" t="s">
        <v>85</v>
      </c>
      <c r="G13" s="4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4.25" customHeight="1" x14ac:dyDescent="0.25">
      <c r="A14" s="51">
        <v>12</v>
      </c>
      <c r="B14" s="52" t="s">
        <v>86</v>
      </c>
      <c r="C14" s="53">
        <v>130100</v>
      </c>
      <c r="D14" s="53">
        <f>C14*5%</f>
        <v>6505</v>
      </c>
      <c r="E14" s="53">
        <f t="shared" si="1"/>
        <v>136605</v>
      </c>
      <c r="F14" s="57" t="s">
        <v>87</v>
      </c>
      <c r="G14" s="47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14.25" customHeight="1" x14ac:dyDescent="0.25">
      <c r="A15" s="51">
        <v>13</v>
      </c>
      <c r="B15" s="52" t="s">
        <v>88</v>
      </c>
      <c r="C15" s="53">
        <v>93220</v>
      </c>
      <c r="D15" s="53">
        <f>C15*18%</f>
        <v>16779.599999999999</v>
      </c>
      <c r="E15" s="53">
        <f t="shared" si="1"/>
        <v>109999.6</v>
      </c>
      <c r="F15" s="57" t="s">
        <v>89</v>
      </c>
      <c r="G15" s="47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4.25" customHeight="1" x14ac:dyDescent="0.25">
      <c r="A16" s="51">
        <v>14</v>
      </c>
      <c r="B16" s="52" t="s">
        <v>90</v>
      </c>
      <c r="C16" s="53">
        <v>19200</v>
      </c>
      <c r="D16" s="53">
        <v>0</v>
      </c>
      <c r="E16" s="53">
        <f t="shared" si="1"/>
        <v>19200</v>
      </c>
      <c r="F16" s="57" t="s">
        <v>91</v>
      </c>
      <c r="G16" s="47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9"/>
      <c r="S16" s="49"/>
      <c r="T16" s="49"/>
      <c r="U16" s="49"/>
      <c r="V16" s="49"/>
      <c r="W16" s="49"/>
      <c r="X16" s="49"/>
      <c r="Y16" s="49"/>
      <c r="Z16" s="49"/>
    </row>
    <row r="17" spans="1:26" ht="14.25" customHeight="1" x14ac:dyDescent="0.25">
      <c r="A17" s="51">
        <v>15</v>
      </c>
      <c r="B17" s="52" t="s">
        <v>92</v>
      </c>
      <c r="C17" s="53">
        <v>5460</v>
      </c>
      <c r="D17" s="53">
        <v>0</v>
      </c>
      <c r="E17" s="53">
        <f t="shared" si="1"/>
        <v>5460</v>
      </c>
      <c r="F17" s="54"/>
      <c r="G17" s="47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4.25" customHeight="1" x14ac:dyDescent="0.25">
      <c r="A18" s="51">
        <v>16</v>
      </c>
      <c r="B18" s="52" t="s">
        <v>93</v>
      </c>
      <c r="C18" s="53">
        <v>260000</v>
      </c>
      <c r="D18" s="53">
        <f>C18*18%</f>
        <v>46800</v>
      </c>
      <c r="E18" s="53">
        <f t="shared" si="1"/>
        <v>306800</v>
      </c>
      <c r="F18" s="57" t="s">
        <v>94</v>
      </c>
      <c r="G18" s="4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4.25" customHeight="1" x14ac:dyDescent="0.25">
      <c r="A19" s="51">
        <v>17</v>
      </c>
      <c r="B19" s="52" t="s">
        <v>95</v>
      </c>
      <c r="C19" s="53">
        <v>486150</v>
      </c>
      <c r="D19" s="53">
        <v>0</v>
      </c>
      <c r="E19" s="53">
        <f t="shared" si="1"/>
        <v>486150</v>
      </c>
      <c r="F19" s="54"/>
      <c r="G19" s="47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4.25" customHeight="1" x14ac:dyDescent="0.25">
      <c r="A20" s="51">
        <v>18</v>
      </c>
      <c r="B20" s="52" t="s">
        <v>96</v>
      </c>
      <c r="C20" s="53">
        <v>140200</v>
      </c>
      <c r="D20" s="53">
        <v>0</v>
      </c>
      <c r="E20" s="53">
        <f t="shared" si="1"/>
        <v>140200</v>
      </c>
      <c r="F20" s="54"/>
      <c r="G20" s="47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4.25" customHeight="1" x14ac:dyDescent="0.25">
      <c r="A21" s="51">
        <v>19</v>
      </c>
      <c r="B21" s="52" t="s">
        <v>97</v>
      </c>
      <c r="C21" s="53">
        <v>86000</v>
      </c>
      <c r="D21" s="53">
        <v>0</v>
      </c>
      <c r="E21" s="53">
        <f t="shared" si="1"/>
        <v>86000</v>
      </c>
      <c r="F21" s="54"/>
      <c r="G21" s="47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4.25" customHeight="1" x14ac:dyDescent="0.25">
      <c r="A22" s="378" t="s">
        <v>35</v>
      </c>
      <c r="B22" s="375"/>
      <c r="C22" s="58">
        <f t="shared" ref="C22:E22" si="3">SUM(C3:C21)</f>
        <v>16329697</v>
      </c>
      <c r="D22" s="58">
        <f t="shared" si="3"/>
        <v>1248652.24</v>
      </c>
      <c r="E22" s="58">
        <f t="shared" si="3"/>
        <v>17578349.239999998</v>
      </c>
      <c r="F22" s="59"/>
      <c r="G22" s="47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4.25" customHeight="1" x14ac:dyDescent="0.25">
      <c r="A23" s="60"/>
      <c r="B23" s="60"/>
      <c r="C23" s="60"/>
      <c r="D23" s="60"/>
      <c r="E23" s="60"/>
      <c r="F23" s="60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4.25" customHeight="1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4.25" customHeight="1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4.25" customHeight="1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4.25" customHeight="1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4.25" customHeight="1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4.25" customHeight="1" x14ac:dyDescent="0.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4.25" customHeight="1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4.25" customHeight="1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4.25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4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4.25" customHeight="1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4.25" customHeight="1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4.25" customHeight="1" x14ac:dyDescent="0.2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4.25" customHeight="1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4.25" customHeight="1" x14ac:dyDescent="0.2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4.25" customHeight="1" x14ac:dyDescent="0.2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4.25" customHeight="1" x14ac:dyDescent="0.2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4.25" customHeight="1" x14ac:dyDescent="0.2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4.25" customHeight="1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4.25" customHeight="1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4.25" customHeight="1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4.25" customHeight="1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4.25" customHeight="1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4.25" customHeight="1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4.25" customHeight="1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4.25" customHeight="1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4.25" customHeight="1" x14ac:dyDescent="0.2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4.25" customHeight="1" x14ac:dyDescent="0.2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4.25" customHeight="1" x14ac:dyDescent="0.2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4.25" customHeight="1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4.25" customHeight="1" x14ac:dyDescent="0.2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4.25" customHeight="1" x14ac:dyDescent="0.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4.25" customHeight="1" x14ac:dyDescent="0.2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4.25" customHeight="1" x14ac:dyDescent="0.2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4.25" customHeight="1" x14ac:dyDescent="0.2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4.25" customHeight="1" x14ac:dyDescent="0.2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4.25" customHeight="1" x14ac:dyDescent="0.2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4.25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4.25" customHeight="1" x14ac:dyDescent="0.2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4.25" customHeight="1" x14ac:dyDescent="0.2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4.25" customHeight="1" x14ac:dyDescent="0.2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4.25" customHeight="1" x14ac:dyDescent="0.2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4.25" customHeight="1" x14ac:dyDescent="0.2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4.25" customHeight="1" x14ac:dyDescent="0.2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4.25" customHeight="1" x14ac:dyDescent="0.2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4.25" customHeight="1" x14ac:dyDescent="0.2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4.25" customHeight="1" x14ac:dyDescent="0.2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4.25" customHeight="1" x14ac:dyDescent="0.2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4.25" customHeight="1" x14ac:dyDescent="0.2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4.25" customHeight="1" x14ac:dyDescent="0.2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4.25" customHeight="1" x14ac:dyDescent="0.2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4.25" customHeight="1" x14ac:dyDescent="0.2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4.25" customHeight="1" x14ac:dyDescent="0.2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4.25" customHeight="1" x14ac:dyDescent="0.2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4.25" customHeight="1" x14ac:dyDescent="0.2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4.25" customHeight="1" x14ac:dyDescent="0.2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4.25" customHeight="1" x14ac:dyDescent="0.2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4.25" customHeight="1" x14ac:dyDescent="0.2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4.25" customHeight="1" x14ac:dyDescent="0.2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4.25" customHeight="1" x14ac:dyDescent="0.2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4.25" customHeight="1" x14ac:dyDescent="0.2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4.25" customHeight="1" x14ac:dyDescent="0.2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4.25" customHeight="1" x14ac:dyDescent="0.2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4.25" customHeight="1" x14ac:dyDescent="0.2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4.25" customHeight="1" x14ac:dyDescent="0.2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4.25" customHeight="1" x14ac:dyDescent="0.2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4.25" customHeight="1" x14ac:dyDescent="0.2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4.25" customHeight="1" x14ac:dyDescent="0.2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4.25" customHeight="1" x14ac:dyDescent="0.2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4.25" customHeight="1" x14ac:dyDescent="0.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4.25" customHeight="1" x14ac:dyDescent="0.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4.25" customHeight="1" x14ac:dyDescent="0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4.25" customHeight="1" x14ac:dyDescent="0.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4.25" customHeight="1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4.25" customHeight="1" x14ac:dyDescent="0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4.25" customHeight="1" x14ac:dyDescent="0.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4.25" customHeight="1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4.25" customHeight="1" x14ac:dyDescent="0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4.25" customHeight="1" x14ac:dyDescent="0.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4.25" customHeight="1" x14ac:dyDescent="0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4.25" customHeight="1" x14ac:dyDescent="0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4.25" customHeight="1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4.25" customHeight="1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4.25" customHeight="1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4.25" customHeight="1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4.25" customHeight="1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4.25" customHeight="1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4.25" customHeight="1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4.25" customHeight="1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4.25" customHeight="1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4.25" customHeight="1" x14ac:dyDescent="0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4.25" customHeight="1" x14ac:dyDescent="0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4.25" customHeight="1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4.25" customHeight="1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4.25" customHeight="1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4.25" customHeight="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4.25" customHeight="1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4.25" customHeight="1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4.25" customHeight="1" x14ac:dyDescent="0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4.25" customHeight="1" x14ac:dyDescent="0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4.25" customHeight="1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4.25" customHeight="1" x14ac:dyDescent="0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4.25" customHeight="1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4.25" customHeight="1" x14ac:dyDescent="0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4.25" customHeight="1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4.25" customHeight="1" x14ac:dyDescent="0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4.25" customHeight="1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4.25" customHeight="1" x14ac:dyDescent="0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4.25" customHeight="1" x14ac:dyDescent="0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4.25" customHeight="1" x14ac:dyDescent="0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4.25" customHeight="1" x14ac:dyDescent="0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4.25" customHeight="1" x14ac:dyDescent="0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4.25" customHeight="1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4.25" customHeight="1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4.25" customHeight="1" x14ac:dyDescent="0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4.25" customHeight="1" x14ac:dyDescent="0.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4.25" customHeight="1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4.25" customHeight="1" x14ac:dyDescent="0.2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4.25" customHeight="1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4.25" customHeight="1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4.25" customHeight="1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4.25" customHeight="1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4.25" customHeight="1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4.25" customHeight="1" x14ac:dyDescent="0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4.25" customHeight="1" x14ac:dyDescent="0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4.25" customHeight="1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4.25" customHeight="1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4.25" customHeight="1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4.25" customHeight="1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4.25" customHeight="1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4.25" customHeight="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4.25" customHeight="1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4.25" customHeight="1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4.25" customHeight="1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4.25" customHeight="1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4.25" customHeight="1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4.25" customHeight="1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4.25" customHeight="1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4.25" customHeight="1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4.25" customHeight="1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4.25" customHeight="1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4.25" customHeight="1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4.25" customHeight="1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4.25" customHeight="1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4.25" customHeight="1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4.25" customHeight="1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4.25" customHeight="1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4.25" customHeight="1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4.25" customHeight="1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4.25" customHeight="1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4.25" customHeight="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4.25" customHeight="1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4.25" customHeight="1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4.25" customHeight="1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4.25" customHeight="1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4.25" customHeight="1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4.25" customHeight="1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4.25" customHeight="1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4.25" customHeight="1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4.25" customHeight="1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4.25" customHeight="1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4.25" customHeight="1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4.25" customHeight="1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4.25" customHeight="1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4.25" customHeight="1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4.25" customHeight="1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4.25" customHeight="1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4.25" customHeight="1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4.25" customHeight="1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4.25" customHeight="1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4.25" customHeight="1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4.25" customHeight="1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4.25" customHeight="1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4.25" customHeight="1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4.25" customHeight="1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4.25" customHeight="1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4.25" customHeight="1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4.25" customHeight="1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4.25" customHeight="1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4.25" customHeight="1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4.25" customHeight="1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4.25" customHeight="1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4.25" customHeight="1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4.25" customHeight="1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4.25" customHeight="1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4.25" customHeight="1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4.25" customHeight="1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4.25" customHeight="1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4.25" customHeight="1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4.25" customHeight="1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4.25" customHeight="1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4.25" customHeight="1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4.25" customHeight="1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4.25" customHeight="1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4.25" customHeight="1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4.25" customHeight="1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4.25" customHeight="1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4.25" customHeight="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4.25" customHeight="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F1"/>
    <mergeCell ref="A22:B2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38.7109375" customWidth="1"/>
    <col min="3" max="3" width="15.5703125" customWidth="1"/>
    <col min="4" max="6" width="15" customWidth="1"/>
    <col min="7" max="7" width="43.85546875" customWidth="1"/>
    <col min="8" max="18" width="8.85546875" customWidth="1"/>
    <col min="19" max="26" width="8.7109375" customWidth="1"/>
  </cols>
  <sheetData>
    <row r="1" spans="1:26" ht="14.25" customHeight="1" x14ac:dyDescent="0.25">
      <c r="A1" s="377" t="s">
        <v>63</v>
      </c>
      <c r="B1" s="374"/>
      <c r="C1" s="374"/>
      <c r="D1" s="374"/>
      <c r="E1" s="374"/>
      <c r="F1" s="374"/>
      <c r="G1" s="375"/>
      <c r="H1" s="47"/>
      <c r="I1" s="48"/>
      <c r="J1" s="48"/>
      <c r="K1" s="48"/>
      <c r="L1" s="48"/>
      <c r="M1" s="48"/>
      <c r="N1" s="48"/>
      <c r="O1" s="48"/>
      <c r="P1" s="48"/>
      <c r="Q1" s="48"/>
      <c r="R1" s="48"/>
      <c r="S1" s="49"/>
      <c r="T1" s="49"/>
      <c r="U1" s="49"/>
      <c r="V1" s="49"/>
      <c r="W1" s="49"/>
      <c r="X1" s="49"/>
      <c r="Y1" s="49"/>
      <c r="Z1" s="49"/>
    </row>
    <row r="2" spans="1:26" ht="14.25" customHeight="1" x14ac:dyDescent="0.25">
      <c r="A2" s="50" t="s">
        <v>64</v>
      </c>
      <c r="B2" s="50" t="s">
        <v>65</v>
      </c>
      <c r="C2" s="50" t="s">
        <v>98</v>
      </c>
      <c r="D2" s="50" t="s">
        <v>99</v>
      </c>
      <c r="E2" s="50" t="s">
        <v>67</v>
      </c>
      <c r="F2" s="50" t="s">
        <v>68</v>
      </c>
      <c r="G2" s="50" t="s">
        <v>69</v>
      </c>
      <c r="H2" s="47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49"/>
      <c r="U2" s="49"/>
      <c r="V2" s="49"/>
      <c r="W2" s="49"/>
      <c r="X2" s="49"/>
      <c r="Y2" s="49"/>
      <c r="Z2" s="49"/>
    </row>
    <row r="3" spans="1:26" ht="14.25" customHeight="1" x14ac:dyDescent="0.25">
      <c r="A3" s="51">
        <v>1</v>
      </c>
      <c r="B3" s="52" t="s">
        <v>70</v>
      </c>
      <c r="C3" s="52"/>
      <c r="D3" s="53">
        <v>126271</v>
      </c>
      <c r="E3" s="53">
        <f t="shared" ref="E3:E4" si="0">D3*18%</f>
        <v>22728.78</v>
      </c>
      <c r="F3" s="53">
        <f t="shared" ref="F3:F21" si="1">C3+D3+E3</f>
        <v>148999.78</v>
      </c>
      <c r="G3" s="54"/>
      <c r="H3" s="47"/>
      <c r="I3" s="48"/>
      <c r="J3" s="48"/>
      <c r="K3" s="48"/>
      <c r="L3" s="48"/>
      <c r="M3" s="48"/>
      <c r="N3" s="48"/>
      <c r="O3" s="48"/>
      <c r="P3" s="48"/>
      <c r="Q3" s="48"/>
      <c r="R3" s="48"/>
      <c r="S3" s="49"/>
      <c r="T3" s="49"/>
      <c r="U3" s="49"/>
      <c r="V3" s="49"/>
      <c r="W3" s="49"/>
      <c r="X3" s="49"/>
      <c r="Y3" s="49"/>
      <c r="Z3" s="49"/>
    </row>
    <row r="4" spans="1:26" ht="14.25" customHeight="1" x14ac:dyDescent="0.25">
      <c r="A4" s="51">
        <v>2</v>
      </c>
      <c r="B4" s="52" t="s">
        <v>71</v>
      </c>
      <c r="C4" s="52"/>
      <c r="D4" s="53">
        <v>274500</v>
      </c>
      <c r="E4" s="53">
        <f t="shared" si="0"/>
        <v>49410</v>
      </c>
      <c r="F4" s="53">
        <f t="shared" si="1"/>
        <v>323910</v>
      </c>
      <c r="G4" s="55" t="s">
        <v>72</v>
      </c>
      <c r="H4" s="47"/>
      <c r="I4" s="48"/>
      <c r="J4" s="48"/>
      <c r="K4" s="48"/>
      <c r="L4" s="48"/>
      <c r="M4" s="48"/>
      <c r="N4" s="48"/>
      <c r="O4" s="48"/>
      <c r="P4" s="48"/>
      <c r="Q4" s="48"/>
      <c r="R4" s="48"/>
      <c r="S4" s="49"/>
      <c r="T4" s="49"/>
      <c r="U4" s="49"/>
      <c r="V4" s="49"/>
      <c r="W4" s="49"/>
      <c r="X4" s="49"/>
      <c r="Y4" s="49"/>
      <c r="Z4" s="49"/>
    </row>
    <row r="5" spans="1:26" ht="14.25" customHeight="1" x14ac:dyDescent="0.25">
      <c r="A5" s="51">
        <v>3</v>
      </c>
      <c r="B5" s="52" t="s">
        <v>73</v>
      </c>
      <c r="C5" s="52"/>
      <c r="D5" s="53"/>
      <c r="E5" s="53"/>
      <c r="F5" s="53">
        <f t="shared" si="1"/>
        <v>0</v>
      </c>
      <c r="G5" s="54"/>
      <c r="H5" s="47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  <c r="T5" s="49"/>
      <c r="U5" s="49"/>
      <c r="V5" s="49"/>
      <c r="W5" s="49"/>
      <c r="X5" s="49"/>
      <c r="Y5" s="49"/>
      <c r="Z5" s="49"/>
    </row>
    <row r="6" spans="1:26" ht="14.25" customHeight="1" x14ac:dyDescent="0.25">
      <c r="A6" s="51">
        <v>4</v>
      </c>
      <c r="B6" s="52" t="s">
        <v>100</v>
      </c>
      <c r="C6" s="52"/>
      <c r="D6" s="53">
        <v>49121</v>
      </c>
      <c r="E6" s="53">
        <v>0</v>
      </c>
      <c r="F6" s="53">
        <f t="shared" si="1"/>
        <v>49121</v>
      </c>
      <c r="G6" s="54"/>
      <c r="H6" s="47"/>
      <c r="I6" s="48"/>
      <c r="J6" s="48"/>
      <c r="K6" s="48"/>
      <c r="L6" s="48"/>
      <c r="M6" s="48"/>
      <c r="N6" s="48"/>
      <c r="O6" s="48"/>
      <c r="P6" s="48"/>
      <c r="Q6" s="48"/>
      <c r="R6" s="48"/>
      <c r="S6" s="49"/>
      <c r="T6" s="49"/>
      <c r="U6" s="49"/>
      <c r="V6" s="49"/>
      <c r="W6" s="49"/>
      <c r="X6" s="49"/>
      <c r="Y6" s="49"/>
      <c r="Z6" s="49"/>
    </row>
    <row r="7" spans="1:26" ht="14.25" customHeight="1" x14ac:dyDescent="0.25">
      <c r="A7" s="61">
        <v>5</v>
      </c>
      <c r="B7" s="62" t="s">
        <v>75</v>
      </c>
      <c r="C7" s="62"/>
      <c r="D7" s="63"/>
      <c r="E7" s="63"/>
      <c r="F7" s="63">
        <f t="shared" si="1"/>
        <v>0</v>
      </c>
      <c r="G7" s="64"/>
      <c r="H7" s="47"/>
      <c r="I7" s="48"/>
      <c r="J7" s="48"/>
      <c r="K7" s="48"/>
      <c r="L7" s="48"/>
      <c r="M7" s="48"/>
      <c r="N7" s="48"/>
      <c r="O7" s="48"/>
      <c r="P7" s="48"/>
      <c r="Q7" s="48"/>
      <c r="R7" s="48"/>
      <c r="S7" s="49"/>
      <c r="T7" s="49"/>
      <c r="U7" s="49"/>
      <c r="V7" s="49"/>
      <c r="W7" s="49"/>
      <c r="X7" s="49"/>
      <c r="Y7" s="49"/>
      <c r="Z7" s="49"/>
    </row>
    <row r="8" spans="1:26" ht="14.25" customHeight="1" x14ac:dyDescent="0.25">
      <c r="A8" s="61">
        <v>6</v>
      </c>
      <c r="B8" s="62" t="s">
        <v>76</v>
      </c>
      <c r="C8" s="62"/>
      <c r="D8" s="63"/>
      <c r="E8" s="63"/>
      <c r="F8" s="63">
        <f t="shared" si="1"/>
        <v>0</v>
      </c>
      <c r="G8" s="64"/>
      <c r="H8" s="47"/>
      <c r="I8" s="48"/>
      <c r="J8" s="48"/>
      <c r="K8" s="48"/>
      <c r="L8" s="48"/>
      <c r="M8" s="48"/>
      <c r="N8" s="48"/>
      <c r="O8" s="48"/>
      <c r="P8" s="48"/>
      <c r="Q8" s="48"/>
      <c r="R8" s="48"/>
      <c r="S8" s="49"/>
      <c r="T8" s="49"/>
      <c r="U8" s="49"/>
      <c r="V8" s="49"/>
      <c r="W8" s="49"/>
      <c r="X8" s="49"/>
      <c r="Y8" s="49"/>
      <c r="Z8" s="49"/>
    </row>
    <row r="9" spans="1:26" ht="14.25" customHeight="1" x14ac:dyDescent="0.25">
      <c r="A9" s="51">
        <v>7</v>
      </c>
      <c r="B9" s="52" t="s">
        <v>77</v>
      </c>
      <c r="C9" s="52"/>
      <c r="D9" s="53">
        <v>72400</v>
      </c>
      <c r="E9" s="53">
        <f t="shared" ref="E9:E13" si="2">D9*18%</f>
        <v>13032</v>
      </c>
      <c r="F9" s="53">
        <f t="shared" si="1"/>
        <v>85432</v>
      </c>
      <c r="G9" s="57" t="s">
        <v>101</v>
      </c>
      <c r="H9" s="47"/>
      <c r="I9" s="48"/>
      <c r="J9" s="48"/>
      <c r="K9" s="48"/>
      <c r="L9" s="48"/>
      <c r="M9" s="48"/>
      <c r="N9" s="48"/>
      <c r="O9" s="48"/>
      <c r="P9" s="48"/>
      <c r="Q9" s="48"/>
      <c r="R9" s="48"/>
      <c r="S9" s="49"/>
      <c r="T9" s="49"/>
      <c r="U9" s="49"/>
      <c r="V9" s="49"/>
      <c r="W9" s="49"/>
      <c r="X9" s="49"/>
      <c r="Y9" s="49"/>
      <c r="Z9" s="49"/>
    </row>
    <row r="10" spans="1:26" ht="14.25" customHeight="1" x14ac:dyDescent="0.25">
      <c r="A10" s="51">
        <v>8</v>
      </c>
      <c r="B10" s="52" t="s">
        <v>79</v>
      </c>
      <c r="C10" s="52"/>
      <c r="D10" s="53">
        <v>173812</v>
      </c>
      <c r="E10" s="53">
        <f t="shared" si="2"/>
        <v>31286.16</v>
      </c>
      <c r="F10" s="53">
        <f t="shared" si="1"/>
        <v>205098.16</v>
      </c>
      <c r="G10" s="57" t="s">
        <v>101</v>
      </c>
      <c r="H10" s="47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9"/>
      <c r="T10" s="49"/>
      <c r="U10" s="49"/>
      <c r="V10" s="49"/>
      <c r="W10" s="49"/>
      <c r="X10" s="49"/>
      <c r="Y10" s="49"/>
      <c r="Z10" s="49"/>
    </row>
    <row r="11" spans="1:26" ht="14.25" customHeight="1" x14ac:dyDescent="0.25">
      <c r="A11" s="51">
        <v>9</v>
      </c>
      <c r="B11" s="52" t="s">
        <v>80</v>
      </c>
      <c r="C11" s="52"/>
      <c r="D11" s="53">
        <v>13500</v>
      </c>
      <c r="E11" s="53">
        <f t="shared" si="2"/>
        <v>2430</v>
      </c>
      <c r="F11" s="53">
        <f t="shared" si="1"/>
        <v>15930</v>
      </c>
      <c r="G11" s="57" t="s">
        <v>81</v>
      </c>
      <c r="H11" s="47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9"/>
      <c r="T11" s="49"/>
      <c r="U11" s="49"/>
      <c r="V11" s="49"/>
      <c r="W11" s="49"/>
      <c r="X11" s="49"/>
      <c r="Y11" s="49"/>
      <c r="Z11" s="49"/>
    </row>
    <row r="12" spans="1:26" ht="14.25" customHeight="1" x14ac:dyDescent="0.25">
      <c r="A12" s="51">
        <v>10</v>
      </c>
      <c r="B12" s="52" t="s">
        <v>102</v>
      </c>
      <c r="C12" s="52"/>
      <c r="D12" s="53">
        <v>132568</v>
      </c>
      <c r="E12" s="53">
        <f t="shared" si="2"/>
        <v>23862.239999999998</v>
      </c>
      <c r="F12" s="53">
        <f t="shared" si="1"/>
        <v>156430.24</v>
      </c>
      <c r="G12" s="57" t="s">
        <v>83</v>
      </c>
      <c r="H12" s="47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9"/>
      <c r="T12" s="49"/>
      <c r="U12" s="49"/>
      <c r="V12" s="49"/>
      <c r="W12" s="49"/>
      <c r="X12" s="49"/>
      <c r="Y12" s="49"/>
      <c r="Z12" s="49"/>
    </row>
    <row r="13" spans="1:26" ht="14.25" customHeight="1" x14ac:dyDescent="0.25">
      <c r="A13" s="51">
        <v>11</v>
      </c>
      <c r="B13" s="52" t="s">
        <v>103</v>
      </c>
      <c r="C13" s="52"/>
      <c r="D13" s="53">
        <v>49578</v>
      </c>
      <c r="E13" s="53">
        <f t="shared" si="2"/>
        <v>8924.0399999999991</v>
      </c>
      <c r="F13" s="53">
        <f t="shared" si="1"/>
        <v>58502.04</v>
      </c>
      <c r="G13" s="57" t="s">
        <v>85</v>
      </c>
      <c r="H13" s="47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9"/>
      <c r="T13" s="49"/>
      <c r="U13" s="49"/>
      <c r="V13" s="49"/>
      <c r="W13" s="49"/>
      <c r="X13" s="49"/>
      <c r="Y13" s="49"/>
      <c r="Z13" s="49"/>
    </row>
    <row r="14" spans="1:26" ht="14.25" customHeight="1" x14ac:dyDescent="0.25">
      <c r="A14" s="51">
        <v>12</v>
      </c>
      <c r="B14" s="52" t="s">
        <v>86</v>
      </c>
      <c r="C14" s="52"/>
      <c r="D14" s="53">
        <v>130100</v>
      </c>
      <c r="E14" s="53">
        <f>D14*5%</f>
        <v>6505</v>
      </c>
      <c r="F14" s="53">
        <f t="shared" si="1"/>
        <v>136605</v>
      </c>
      <c r="G14" s="57" t="s">
        <v>87</v>
      </c>
      <c r="H14" s="47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9"/>
      <c r="T14" s="49"/>
      <c r="U14" s="49"/>
      <c r="V14" s="49"/>
      <c r="W14" s="49"/>
      <c r="X14" s="49"/>
      <c r="Y14" s="49"/>
      <c r="Z14" s="49"/>
    </row>
    <row r="15" spans="1:26" ht="14.25" customHeight="1" x14ac:dyDescent="0.25">
      <c r="A15" s="51">
        <v>13</v>
      </c>
      <c r="B15" s="52" t="s">
        <v>88</v>
      </c>
      <c r="C15" s="52"/>
      <c r="D15" s="53">
        <v>93220</v>
      </c>
      <c r="E15" s="53">
        <f>D15*18%</f>
        <v>16779.599999999999</v>
      </c>
      <c r="F15" s="53">
        <f t="shared" si="1"/>
        <v>109999.6</v>
      </c>
      <c r="G15" s="57" t="s">
        <v>89</v>
      </c>
      <c r="H15" s="47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9"/>
      <c r="T15" s="49"/>
      <c r="U15" s="49"/>
      <c r="V15" s="49"/>
      <c r="W15" s="49"/>
      <c r="X15" s="49"/>
      <c r="Y15" s="49"/>
      <c r="Z15" s="49"/>
    </row>
    <row r="16" spans="1:26" ht="14.25" customHeight="1" x14ac:dyDescent="0.25">
      <c r="A16" s="51">
        <v>14</v>
      </c>
      <c r="B16" s="52" t="s">
        <v>90</v>
      </c>
      <c r="C16" s="52"/>
      <c r="D16" s="53">
        <v>19200</v>
      </c>
      <c r="E16" s="53">
        <v>0</v>
      </c>
      <c r="F16" s="53">
        <f t="shared" si="1"/>
        <v>19200</v>
      </c>
      <c r="G16" s="57" t="s">
        <v>91</v>
      </c>
      <c r="H16" s="47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9"/>
      <c r="T16" s="49"/>
      <c r="U16" s="49"/>
      <c r="V16" s="49"/>
      <c r="W16" s="49"/>
      <c r="X16" s="49"/>
      <c r="Y16" s="49"/>
      <c r="Z16" s="49"/>
    </row>
    <row r="17" spans="1:26" ht="14.25" customHeight="1" x14ac:dyDescent="0.25">
      <c r="A17" s="51">
        <v>15</v>
      </c>
      <c r="B17" s="52" t="s">
        <v>92</v>
      </c>
      <c r="C17" s="52"/>
      <c r="D17" s="53">
        <v>5460</v>
      </c>
      <c r="E17" s="53">
        <v>0</v>
      </c>
      <c r="F17" s="53">
        <f t="shared" si="1"/>
        <v>5460</v>
      </c>
      <c r="G17" s="54"/>
      <c r="H17" s="47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9"/>
      <c r="T17" s="49"/>
      <c r="U17" s="49"/>
      <c r="V17" s="49"/>
      <c r="W17" s="49"/>
      <c r="X17" s="49"/>
      <c r="Y17" s="49"/>
      <c r="Z17" s="49"/>
    </row>
    <row r="18" spans="1:26" ht="14.25" customHeight="1" x14ac:dyDescent="0.25">
      <c r="A18" s="51">
        <v>16</v>
      </c>
      <c r="B18" s="52" t="s">
        <v>93</v>
      </c>
      <c r="C18" s="53"/>
      <c r="D18" s="53">
        <v>260000</v>
      </c>
      <c r="E18" s="53">
        <f>C18*18%</f>
        <v>0</v>
      </c>
      <c r="F18" s="53">
        <f t="shared" si="1"/>
        <v>260000</v>
      </c>
      <c r="G18" s="57" t="s">
        <v>94</v>
      </c>
      <c r="H18" s="47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9"/>
      <c r="T18" s="49"/>
      <c r="U18" s="49"/>
      <c r="V18" s="49"/>
      <c r="W18" s="49"/>
      <c r="X18" s="49"/>
      <c r="Y18" s="49"/>
      <c r="Z18" s="49"/>
    </row>
    <row r="19" spans="1:26" ht="14.25" customHeight="1" x14ac:dyDescent="0.25">
      <c r="A19" s="61">
        <v>17</v>
      </c>
      <c r="B19" s="62" t="s">
        <v>95</v>
      </c>
      <c r="C19" s="62"/>
      <c r="D19" s="63"/>
      <c r="E19" s="63"/>
      <c r="F19" s="63">
        <f t="shared" si="1"/>
        <v>0</v>
      </c>
      <c r="G19" s="64"/>
      <c r="H19" s="47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9"/>
      <c r="T19" s="49"/>
      <c r="U19" s="49"/>
      <c r="V19" s="49"/>
      <c r="W19" s="49"/>
      <c r="X19" s="49"/>
      <c r="Y19" s="49"/>
      <c r="Z19" s="49"/>
    </row>
    <row r="20" spans="1:26" ht="14.25" customHeight="1" x14ac:dyDescent="0.25">
      <c r="A20" s="61">
        <v>18</v>
      </c>
      <c r="B20" s="62" t="s">
        <v>96</v>
      </c>
      <c r="C20" s="62"/>
      <c r="D20" s="63"/>
      <c r="E20" s="63">
        <v>0</v>
      </c>
      <c r="F20" s="63">
        <f t="shared" si="1"/>
        <v>0</v>
      </c>
      <c r="G20" s="64"/>
      <c r="H20" s="47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9"/>
      <c r="T20" s="49"/>
      <c r="U20" s="49"/>
      <c r="V20" s="49"/>
      <c r="W20" s="49"/>
      <c r="X20" s="49"/>
      <c r="Y20" s="49"/>
      <c r="Z20" s="49"/>
    </row>
    <row r="21" spans="1:26" ht="14.25" customHeight="1" x14ac:dyDescent="0.25">
      <c r="A21" s="51">
        <v>19</v>
      </c>
      <c r="B21" s="52" t="s">
        <v>97</v>
      </c>
      <c r="C21" s="53"/>
      <c r="D21" s="53">
        <v>86000</v>
      </c>
      <c r="E21" s="53">
        <v>0</v>
      </c>
      <c r="F21" s="53">
        <f t="shared" si="1"/>
        <v>86000</v>
      </c>
      <c r="G21" s="54"/>
      <c r="H21" s="47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9"/>
      <c r="T21" s="49"/>
      <c r="U21" s="49"/>
      <c r="V21" s="49"/>
      <c r="W21" s="49"/>
      <c r="X21" s="49"/>
      <c r="Y21" s="49"/>
      <c r="Z21" s="49"/>
    </row>
    <row r="22" spans="1:26" ht="14.25" customHeight="1" x14ac:dyDescent="0.25">
      <c r="A22" s="378" t="s">
        <v>35</v>
      </c>
      <c r="B22" s="375"/>
      <c r="C22" s="58">
        <f t="shared" ref="C22:F22" si="3">SUM(C3:C21)</f>
        <v>0</v>
      </c>
      <c r="D22" s="58">
        <f t="shared" si="3"/>
        <v>1485730</v>
      </c>
      <c r="E22" s="58">
        <f t="shared" si="3"/>
        <v>174957.82</v>
      </c>
      <c r="F22" s="58">
        <f t="shared" si="3"/>
        <v>1660687.8200000003</v>
      </c>
      <c r="G22" s="59"/>
      <c r="H22" s="47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9"/>
      <c r="T22" s="49"/>
      <c r="U22" s="49"/>
      <c r="V22" s="49"/>
      <c r="W22" s="49"/>
      <c r="X22" s="49"/>
      <c r="Y22" s="49"/>
      <c r="Z22" s="49"/>
    </row>
    <row r="23" spans="1:26" ht="14.25" customHeight="1" x14ac:dyDescent="0.25">
      <c r="A23" s="65"/>
      <c r="B23" s="65" t="s">
        <v>104</v>
      </c>
      <c r="C23" s="65"/>
      <c r="D23" s="65">
        <v>5</v>
      </c>
      <c r="E23" s="65"/>
      <c r="F23" s="65"/>
      <c r="G23" s="65"/>
      <c r="H23" s="47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9"/>
      <c r="T23" s="49"/>
      <c r="U23" s="49"/>
      <c r="V23" s="49"/>
      <c r="W23" s="49"/>
      <c r="X23" s="49"/>
      <c r="Y23" s="49"/>
      <c r="Z23" s="49"/>
    </row>
    <row r="24" spans="1:26" ht="14.25" customHeight="1" x14ac:dyDescent="0.25">
      <c r="A24" s="65"/>
      <c r="B24" s="66" t="s">
        <v>105</v>
      </c>
      <c r="C24" s="66"/>
      <c r="D24" s="67">
        <f>D22/D23</f>
        <v>297146</v>
      </c>
      <c r="E24" s="65"/>
      <c r="F24" s="65"/>
      <c r="G24" s="65"/>
      <c r="H24" s="47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9"/>
      <c r="T24" s="49"/>
      <c r="U24" s="49"/>
      <c r="V24" s="49"/>
      <c r="W24" s="49"/>
      <c r="X24" s="49"/>
      <c r="Y24" s="49"/>
      <c r="Z24" s="49"/>
    </row>
    <row r="25" spans="1:26" ht="14.25" customHeight="1" x14ac:dyDescent="0.25">
      <c r="A25" s="60"/>
      <c r="B25" s="60"/>
      <c r="C25" s="60"/>
      <c r="D25" s="60"/>
      <c r="E25" s="60"/>
      <c r="F25" s="60"/>
      <c r="G25" s="60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9"/>
      <c r="T25" s="49"/>
      <c r="U25" s="49"/>
      <c r="V25" s="49"/>
      <c r="W25" s="49"/>
      <c r="X25" s="49"/>
      <c r="Y25" s="49"/>
      <c r="Z25" s="49"/>
    </row>
    <row r="26" spans="1:26" ht="14.25" customHeight="1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9"/>
      <c r="T26" s="49"/>
      <c r="U26" s="49"/>
      <c r="V26" s="49"/>
      <c r="W26" s="49"/>
      <c r="X26" s="49"/>
      <c r="Y26" s="49"/>
      <c r="Z26" s="49"/>
    </row>
    <row r="27" spans="1:26" ht="14.25" customHeight="1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9"/>
      <c r="T27" s="49"/>
      <c r="U27" s="49"/>
      <c r="V27" s="49"/>
      <c r="W27" s="49"/>
      <c r="X27" s="49"/>
      <c r="Y27" s="49"/>
      <c r="Z27" s="49"/>
    </row>
    <row r="28" spans="1:26" ht="14.25" customHeight="1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9"/>
      <c r="T28" s="49"/>
      <c r="U28" s="49"/>
      <c r="V28" s="49"/>
      <c r="W28" s="49"/>
      <c r="X28" s="49"/>
      <c r="Y28" s="49"/>
      <c r="Z28" s="49"/>
    </row>
    <row r="29" spans="1:26" ht="14.25" customHeight="1" x14ac:dyDescent="0.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9"/>
      <c r="T29" s="49"/>
      <c r="U29" s="49"/>
      <c r="V29" s="49"/>
      <c r="W29" s="49"/>
      <c r="X29" s="49"/>
      <c r="Y29" s="49"/>
      <c r="Z29" s="49"/>
    </row>
    <row r="30" spans="1:26" ht="14.25" customHeight="1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9"/>
      <c r="T30" s="49"/>
      <c r="U30" s="49"/>
      <c r="V30" s="49"/>
      <c r="W30" s="49"/>
      <c r="X30" s="49"/>
      <c r="Y30" s="49"/>
      <c r="Z30" s="49"/>
    </row>
    <row r="31" spans="1:26" ht="14.25" customHeight="1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9"/>
      <c r="T31" s="49"/>
      <c r="U31" s="49"/>
      <c r="V31" s="49"/>
      <c r="W31" s="49"/>
      <c r="X31" s="49"/>
      <c r="Y31" s="49"/>
      <c r="Z31" s="49"/>
    </row>
    <row r="32" spans="1:26" ht="14.25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9"/>
      <c r="T32" s="49"/>
      <c r="U32" s="49"/>
      <c r="V32" s="49"/>
      <c r="W32" s="49"/>
      <c r="X32" s="49"/>
      <c r="Y32" s="49"/>
      <c r="Z32" s="49"/>
    </row>
    <row r="33" spans="1:26" ht="14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9"/>
      <c r="T33" s="49"/>
      <c r="U33" s="49"/>
      <c r="V33" s="49"/>
      <c r="W33" s="49"/>
      <c r="X33" s="49"/>
      <c r="Y33" s="49"/>
      <c r="Z33" s="49"/>
    </row>
    <row r="34" spans="1:26" ht="14.25" customHeight="1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9"/>
      <c r="T34" s="49"/>
      <c r="U34" s="49"/>
      <c r="V34" s="49"/>
      <c r="W34" s="49"/>
      <c r="X34" s="49"/>
      <c r="Y34" s="49"/>
      <c r="Z34" s="49"/>
    </row>
    <row r="35" spans="1:26" ht="14.25" customHeight="1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9"/>
      <c r="T35" s="49"/>
      <c r="U35" s="49"/>
      <c r="V35" s="49"/>
      <c r="W35" s="49"/>
      <c r="X35" s="49"/>
      <c r="Y35" s="49"/>
      <c r="Z35" s="49"/>
    </row>
    <row r="36" spans="1:26" ht="14.25" customHeight="1" x14ac:dyDescent="0.2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9"/>
      <c r="T36" s="49"/>
      <c r="U36" s="49"/>
      <c r="V36" s="49"/>
      <c r="W36" s="49"/>
      <c r="X36" s="49"/>
      <c r="Y36" s="49"/>
      <c r="Z36" s="49"/>
    </row>
    <row r="37" spans="1:26" ht="14.25" customHeight="1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9"/>
      <c r="T37" s="49"/>
      <c r="U37" s="49"/>
      <c r="V37" s="49"/>
      <c r="W37" s="49"/>
      <c r="X37" s="49"/>
      <c r="Y37" s="49"/>
      <c r="Z37" s="49"/>
    </row>
    <row r="38" spans="1:26" ht="14.25" customHeight="1" x14ac:dyDescent="0.2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9"/>
      <c r="T38" s="49"/>
      <c r="U38" s="49"/>
      <c r="V38" s="49"/>
      <c r="W38" s="49"/>
      <c r="X38" s="49"/>
      <c r="Y38" s="49"/>
      <c r="Z38" s="49"/>
    </row>
    <row r="39" spans="1:26" ht="14.25" customHeight="1" x14ac:dyDescent="0.2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9"/>
      <c r="T39" s="49"/>
      <c r="U39" s="49"/>
      <c r="V39" s="49"/>
      <c r="W39" s="49"/>
      <c r="X39" s="49"/>
      <c r="Y39" s="49"/>
      <c r="Z39" s="49"/>
    </row>
    <row r="40" spans="1:26" ht="14.25" customHeight="1" x14ac:dyDescent="0.2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9"/>
      <c r="T40" s="49"/>
      <c r="U40" s="49"/>
      <c r="V40" s="49"/>
      <c r="W40" s="49"/>
      <c r="X40" s="49"/>
      <c r="Y40" s="49"/>
      <c r="Z40" s="49"/>
    </row>
    <row r="41" spans="1:26" ht="14.25" customHeight="1" x14ac:dyDescent="0.2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9"/>
      <c r="T41" s="49"/>
      <c r="U41" s="49"/>
      <c r="V41" s="49"/>
      <c r="W41" s="49"/>
      <c r="X41" s="49"/>
      <c r="Y41" s="49"/>
      <c r="Z41" s="49"/>
    </row>
    <row r="42" spans="1:26" ht="14.25" customHeight="1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9"/>
      <c r="T42" s="49"/>
      <c r="U42" s="49"/>
      <c r="V42" s="49"/>
      <c r="W42" s="49"/>
      <c r="X42" s="49"/>
      <c r="Y42" s="49"/>
      <c r="Z42" s="49"/>
    </row>
    <row r="43" spans="1:26" ht="14.25" customHeight="1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9"/>
      <c r="T43" s="49"/>
      <c r="U43" s="49"/>
      <c r="V43" s="49"/>
      <c r="W43" s="49"/>
      <c r="X43" s="49"/>
      <c r="Y43" s="49"/>
      <c r="Z43" s="49"/>
    </row>
    <row r="44" spans="1:26" ht="14.25" customHeight="1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9"/>
      <c r="T44" s="49"/>
      <c r="U44" s="49"/>
      <c r="V44" s="49"/>
      <c r="W44" s="49"/>
      <c r="X44" s="49"/>
      <c r="Y44" s="49"/>
      <c r="Z44" s="49"/>
    </row>
    <row r="45" spans="1:26" ht="14.25" customHeight="1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9"/>
      <c r="T45" s="49"/>
      <c r="U45" s="49"/>
      <c r="V45" s="49"/>
      <c r="W45" s="49"/>
      <c r="X45" s="49"/>
      <c r="Y45" s="49"/>
      <c r="Z45" s="49"/>
    </row>
    <row r="46" spans="1:26" ht="14.25" customHeight="1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49"/>
      <c r="U46" s="49"/>
      <c r="V46" s="49"/>
      <c r="W46" s="49"/>
      <c r="X46" s="49"/>
      <c r="Y46" s="49"/>
      <c r="Z46" s="49"/>
    </row>
    <row r="47" spans="1:26" ht="14.25" customHeight="1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49"/>
      <c r="U47" s="49"/>
      <c r="V47" s="49"/>
      <c r="W47" s="49"/>
      <c r="X47" s="49"/>
      <c r="Y47" s="49"/>
      <c r="Z47" s="49"/>
    </row>
    <row r="48" spans="1:26" ht="14.25" customHeight="1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49"/>
      <c r="U48" s="49"/>
      <c r="V48" s="49"/>
      <c r="W48" s="49"/>
      <c r="X48" s="49"/>
      <c r="Y48" s="49"/>
      <c r="Z48" s="49"/>
    </row>
    <row r="49" spans="1:26" ht="14.25" customHeight="1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9"/>
      <c r="T49" s="49"/>
      <c r="U49" s="49"/>
      <c r="V49" s="49"/>
      <c r="W49" s="49"/>
      <c r="X49" s="49"/>
      <c r="Y49" s="49"/>
      <c r="Z49" s="49"/>
    </row>
    <row r="50" spans="1:26" ht="14.25" customHeight="1" x14ac:dyDescent="0.2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9"/>
      <c r="T50" s="49"/>
      <c r="U50" s="49"/>
      <c r="V50" s="49"/>
      <c r="W50" s="49"/>
      <c r="X50" s="49"/>
      <c r="Y50" s="49"/>
      <c r="Z50" s="49"/>
    </row>
    <row r="51" spans="1:26" ht="14.25" customHeight="1" x14ac:dyDescent="0.2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49"/>
      <c r="U51" s="49"/>
      <c r="V51" s="49"/>
      <c r="W51" s="49"/>
      <c r="X51" s="49"/>
      <c r="Y51" s="49"/>
      <c r="Z51" s="49"/>
    </row>
    <row r="52" spans="1:26" ht="14.25" customHeight="1" x14ac:dyDescent="0.2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49"/>
      <c r="U52" s="49"/>
      <c r="V52" s="49"/>
      <c r="W52" s="49"/>
      <c r="X52" s="49"/>
      <c r="Y52" s="49"/>
      <c r="Z52" s="49"/>
    </row>
    <row r="53" spans="1:26" ht="14.25" customHeight="1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49"/>
      <c r="U53" s="49"/>
      <c r="V53" s="49"/>
      <c r="W53" s="49"/>
      <c r="X53" s="49"/>
      <c r="Y53" s="49"/>
      <c r="Z53" s="49"/>
    </row>
    <row r="54" spans="1:26" ht="14.25" customHeight="1" x14ac:dyDescent="0.2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9"/>
      <c r="T54" s="49"/>
      <c r="U54" s="49"/>
      <c r="V54" s="49"/>
      <c r="W54" s="49"/>
      <c r="X54" s="49"/>
      <c r="Y54" s="49"/>
      <c r="Z54" s="49"/>
    </row>
    <row r="55" spans="1:26" ht="14.25" customHeight="1" x14ac:dyDescent="0.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9"/>
      <c r="T55" s="49"/>
      <c r="U55" s="49"/>
      <c r="V55" s="49"/>
      <c r="W55" s="49"/>
      <c r="X55" s="49"/>
      <c r="Y55" s="49"/>
      <c r="Z55" s="49"/>
    </row>
    <row r="56" spans="1:26" ht="14.25" customHeight="1" x14ac:dyDescent="0.2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9"/>
      <c r="T56" s="49"/>
      <c r="U56" s="49"/>
      <c r="V56" s="49"/>
      <c r="W56" s="49"/>
      <c r="X56" s="49"/>
      <c r="Y56" s="49"/>
      <c r="Z56" s="49"/>
    </row>
    <row r="57" spans="1:26" ht="14.25" customHeight="1" x14ac:dyDescent="0.2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9"/>
      <c r="T57" s="49"/>
      <c r="U57" s="49"/>
      <c r="V57" s="49"/>
      <c r="W57" s="49"/>
      <c r="X57" s="49"/>
      <c r="Y57" s="49"/>
      <c r="Z57" s="49"/>
    </row>
    <row r="58" spans="1:26" ht="14.25" customHeight="1" x14ac:dyDescent="0.2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9"/>
      <c r="T58" s="49"/>
      <c r="U58" s="49"/>
      <c r="V58" s="49"/>
      <c r="W58" s="49"/>
      <c r="X58" s="49"/>
      <c r="Y58" s="49"/>
      <c r="Z58" s="49"/>
    </row>
    <row r="59" spans="1:26" ht="14.25" customHeight="1" x14ac:dyDescent="0.2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9"/>
      <c r="T59" s="49"/>
      <c r="U59" s="49"/>
      <c r="V59" s="49"/>
      <c r="W59" s="49"/>
      <c r="X59" s="49"/>
      <c r="Y59" s="49"/>
      <c r="Z59" s="49"/>
    </row>
    <row r="60" spans="1:26" ht="14.25" customHeight="1" x14ac:dyDescent="0.2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9"/>
      <c r="T60" s="49"/>
      <c r="U60" s="49"/>
      <c r="V60" s="49"/>
      <c r="W60" s="49"/>
      <c r="X60" s="49"/>
      <c r="Y60" s="49"/>
      <c r="Z60" s="49"/>
    </row>
    <row r="61" spans="1:26" ht="14.25" customHeight="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9"/>
      <c r="T61" s="49"/>
      <c r="U61" s="49"/>
      <c r="V61" s="49"/>
      <c r="W61" s="49"/>
      <c r="X61" s="49"/>
      <c r="Y61" s="49"/>
      <c r="Z61" s="49"/>
    </row>
    <row r="62" spans="1:26" ht="14.25" customHeight="1" x14ac:dyDescent="0.2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9"/>
      <c r="T62" s="49"/>
      <c r="U62" s="49"/>
      <c r="V62" s="49"/>
      <c r="W62" s="49"/>
      <c r="X62" s="49"/>
      <c r="Y62" s="49"/>
      <c r="Z62" s="49"/>
    </row>
    <row r="63" spans="1:26" ht="14.25" customHeight="1" x14ac:dyDescent="0.2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9"/>
      <c r="T63" s="49"/>
      <c r="U63" s="49"/>
      <c r="V63" s="49"/>
      <c r="W63" s="49"/>
      <c r="X63" s="49"/>
      <c r="Y63" s="49"/>
      <c r="Z63" s="49"/>
    </row>
    <row r="64" spans="1:26" ht="14.25" customHeight="1" x14ac:dyDescent="0.2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9"/>
      <c r="T64" s="49"/>
      <c r="U64" s="49"/>
      <c r="V64" s="49"/>
      <c r="W64" s="49"/>
      <c r="X64" s="49"/>
      <c r="Y64" s="49"/>
      <c r="Z64" s="49"/>
    </row>
    <row r="65" spans="1:26" ht="14.25" customHeight="1" x14ac:dyDescent="0.2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9"/>
      <c r="T65" s="49"/>
      <c r="U65" s="49"/>
      <c r="V65" s="49"/>
      <c r="W65" s="49"/>
      <c r="X65" s="49"/>
      <c r="Y65" s="49"/>
      <c r="Z65" s="49"/>
    </row>
    <row r="66" spans="1:26" ht="14.25" customHeight="1" x14ac:dyDescent="0.2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9"/>
      <c r="T66" s="49"/>
      <c r="U66" s="49"/>
      <c r="V66" s="49"/>
      <c r="W66" s="49"/>
      <c r="X66" s="49"/>
      <c r="Y66" s="49"/>
      <c r="Z66" s="49"/>
    </row>
    <row r="67" spans="1:26" ht="14.25" customHeight="1" x14ac:dyDescent="0.2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9"/>
      <c r="T67" s="49"/>
      <c r="U67" s="49"/>
      <c r="V67" s="49"/>
      <c r="W67" s="49"/>
      <c r="X67" s="49"/>
      <c r="Y67" s="49"/>
      <c r="Z67" s="49"/>
    </row>
    <row r="68" spans="1:26" ht="14.25" customHeight="1" x14ac:dyDescent="0.2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9"/>
      <c r="T68" s="49"/>
      <c r="U68" s="49"/>
      <c r="V68" s="49"/>
      <c r="W68" s="49"/>
      <c r="X68" s="49"/>
      <c r="Y68" s="49"/>
      <c r="Z68" s="49"/>
    </row>
    <row r="69" spans="1:26" ht="14.25" customHeight="1" x14ac:dyDescent="0.2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9"/>
      <c r="T69" s="49"/>
      <c r="U69" s="49"/>
      <c r="V69" s="49"/>
      <c r="W69" s="49"/>
      <c r="X69" s="49"/>
      <c r="Y69" s="49"/>
      <c r="Z69" s="49"/>
    </row>
    <row r="70" spans="1:26" ht="14.25" customHeight="1" x14ac:dyDescent="0.2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9"/>
      <c r="T70" s="49"/>
      <c r="U70" s="49"/>
      <c r="V70" s="49"/>
      <c r="W70" s="49"/>
      <c r="X70" s="49"/>
      <c r="Y70" s="49"/>
      <c r="Z70" s="49"/>
    </row>
    <row r="71" spans="1:26" ht="14.25" customHeight="1" x14ac:dyDescent="0.2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9"/>
      <c r="T71" s="49"/>
      <c r="U71" s="49"/>
      <c r="V71" s="49"/>
      <c r="W71" s="49"/>
      <c r="X71" s="49"/>
      <c r="Y71" s="49"/>
      <c r="Z71" s="49"/>
    </row>
    <row r="72" spans="1:26" ht="14.25" customHeight="1" x14ac:dyDescent="0.2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9"/>
      <c r="T72" s="49"/>
      <c r="U72" s="49"/>
      <c r="V72" s="49"/>
      <c r="W72" s="49"/>
      <c r="X72" s="49"/>
      <c r="Y72" s="49"/>
      <c r="Z72" s="49"/>
    </row>
    <row r="73" spans="1:26" ht="14.25" customHeight="1" x14ac:dyDescent="0.2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9"/>
      <c r="T73" s="49"/>
      <c r="U73" s="49"/>
      <c r="V73" s="49"/>
      <c r="W73" s="49"/>
      <c r="X73" s="49"/>
      <c r="Y73" s="49"/>
      <c r="Z73" s="49"/>
    </row>
    <row r="74" spans="1:26" ht="14.25" customHeight="1" x14ac:dyDescent="0.2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9"/>
      <c r="T74" s="49"/>
      <c r="U74" s="49"/>
      <c r="V74" s="49"/>
      <c r="W74" s="49"/>
      <c r="X74" s="49"/>
      <c r="Y74" s="49"/>
      <c r="Z74" s="49"/>
    </row>
    <row r="75" spans="1:26" ht="14.25" customHeight="1" x14ac:dyDescent="0.2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9"/>
      <c r="T75" s="49"/>
      <c r="U75" s="49"/>
      <c r="V75" s="49"/>
      <c r="W75" s="49"/>
      <c r="X75" s="49"/>
      <c r="Y75" s="49"/>
      <c r="Z75" s="49"/>
    </row>
    <row r="76" spans="1:26" ht="14.25" customHeight="1" x14ac:dyDescent="0.2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9"/>
      <c r="T76" s="49"/>
      <c r="U76" s="49"/>
      <c r="V76" s="49"/>
      <c r="W76" s="49"/>
      <c r="X76" s="49"/>
      <c r="Y76" s="49"/>
      <c r="Z76" s="49"/>
    </row>
    <row r="77" spans="1:26" ht="14.25" customHeight="1" x14ac:dyDescent="0.2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9"/>
      <c r="T77" s="49"/>
      <c r="U77" s="49"/>
      <c r="V77" s="49"/>
      <c r="W77" s="49"/>
      <c r="X77" s="49"/>
      <c r="Y77" s="49"/>
      <c r="Z77" s="49"/>
    </row>
    <row r="78" spans="1:26" ht="14.25" customHeight="1" x14ac:dyDescent="0.2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9"/>
      <c r="T78" s="49"/>
      <c r="U78" s="49"/>
      <c r="V78" s="49"/>
      <c r="W78" s="49"/>
      <c r="X78" s="49"/>
      <c r="Y78" s="49"/>
      <c r="Z78" s="49"/>
    </row>
    <row r="79" spans="1:26" ht="14.25" customHeight="1" x14ac:dyDescent="0.2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9"/>
      <c r="T79" s="49"/>
      <c r="U79" s="49"/>
      <c r="V79" s="49"/>
      <c r="W79" s="49"/>
      <c r="X79" s="49"/>
      <c r="Y79" s="49"/>
      <c r="Z79" s="49"/>
    </row>
    <row r="80" spans="1:26" ht="14.25" customHeight="1" x14ac:dyDescent="0.2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9"/>
      <c r="T80" s="49"/>
      <c r="U80" s="49"/>
      <c r="V80" s="49"/>
      <c r="W80" s="49"/>
      <c r="X80" s="49"/>
      <c r="Y80" s="49"/>
      <c r="Z80" s="49"/>
    </row>
    <row r="81" spans="1:26" ht="14.25" customHeight="1" x14ac:dyDescent="0.2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9"/>
      <c r="T81" s="49"/>
      <c r="U81" s="49"/>
      <c r="V81" s="49"/>
      <c r="W81" s="49"/>
      <c r="X81" s="49"/>
      <c r="Y81" s="49"/>
      <c r="Z81" s="49"/>
    </row>
    <row r="82" spans="1:26" ht="14.25" customHeight="1" x14ac:dyDescent="0.2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9"/>
      <c r="T82" s="49"/>
      <c r="U82" s="49"/>
      <c r="V82" s="49"/>
      <c r="W82" s="49"/>
      <c r="X82" s="49"/>
      <c r="Y82" s="49"/>
      <c r="Z82" s="49"/>
    </row>
    <row r="83" spans="1:26" ht="14.25" customHeight="1" x14ac:dyDescent="0.2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9"/>
      <c r="T83" s="49"/>
      <c r="U83" s="49"/>
      <c r="V83" s="49"/>
      <c r="W83" s="49"/>
      <c r="X83" s="49"/>
      <c r="Y83" s="49"/>
      <c r="Z83" s="49"/>
    </row>
    <row r="84" spans="1:26" ht="14.25" customHeight="1" x14ac:dyDescent="0.2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9"/>
      <c r="T84" s="49"/>
      <c r="U84" s="49"/>
      <c r="V84" s="49"/>
      <c r="W84" s="49"/>
      <c r="X84" s="49"/>
      <c r="Y84" s="49"/>
      <c r="Z84" s="49"/>
    </row>
    <row r="85" spans="1:26" ht="14.25" customHeight="1" x14ac:dyDescent="0.2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9"/>
      <c r="T85" s="49"/>
      <c r="U85" s="49"/>
      <c r="V85" s="49"/>
      <c r="W85" s="49"/>
      <c r="X85" s="49"/>
      <c r="Y85" s="49"/>
      <c r="Z85" s="49"/>
    </row>
    <row r="86" spans="1:26" ht="14.25" customHeight="1" x14ac:dyDescent="0.2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9"/>
      <c r="T86" s="49"/>
      <c r="U86" s="49"/>
      <c r="V86" s="49"/>
      <c r="W86" s="49"/>
      <c r="X86" s="49"/>
      <c r="Y86" s="49"/>
      <c r="Z86" s="49"/>
    </row>
    <row r="87" spans="1:26" ht="14.25" customHeight="1" x14ac:dyDescent="0.2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9"/>
      <c r="T87" s="49"/>
      <c r="U87" s="49"/>
      <c r="V87" s="49"/>
      <c r="W87" s="49"/>
      <c r="X87" s="49"/>
      <c r="Y87" s="49"/>
      <c r="Z87" s="49"/>
    </row>
    <row r="88" spans="1:26" ht="14.25" customHeight="1" x14ac:dyDescent="0.2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9"/>
      <c r="T88" s="49"/>
      <c r="U88" s="49"/>
      <c r="V88" s="49"/>
      <c r="W88" s="49"/>
      <c r="X88" s="49"/>
      <c r="Y88" s="49"/>
      <c r="Z88" s="49"/>
    </row>
    <row r="89" spans="1:26" ht="14.25" customHeight="1" x14ac:dyDescent="0.2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9"/>
      <c r="T89" s="49"/>
      <c r="U89" s="49"/>
      <c r="V89" s="49"/>
      <c r="W89" s="49"/>
      <c r="X89" s="49"/>
      <c r="Y89" s="49"/>
      <c r="Z89" s="49"/>
    </row>
    <row r="90" spans="1:26" ht="14.25" customHeight="1" x14ac:dyDescent="0.2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9"/>
      <c r="T90" s="49"/>
      <c r="U90" s="49"/>
      <c r="V90" s="49"/>
      <c r="W90" s="49"/>
      <c r="X90" s="49"/>
      <c r="Y90" s="49"/>
      <c r="Z90" s="49"/>
    </row>
    <row r="91" spans="1:26" ht="14.25" customHeight="1" x14ac:dyDescent="0.2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9"/>
      <c r="T91" s="49"/>
      <c r="U91" s="49"/>
      <c r="V91" s="49"/>
      <c r="W91" s="49"/>
      <c r="X91" s="49"/>
      <c r="Y91" s="49"/>
      <c r="Z91" s="49"/>
    </row>
    <row r="92" spans="1:26" ht="14.25" customHeight="1" x14ac:dyDescent="0.2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9"/>
      <c r="T92" s="49"/>
      <c r="U92" s="49"/>
      <c r="V92" s="49"/>
      <c r="W92" s="49"/>
      <c r="X92" s="49"/>
      <c r="Y92" s="49"/>
      <c r="Z92" s="49"/>
    </row>
    <row r="93" spans="1:26" ht="14.25" customHeight="1" x14ac:dyDescent="0.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9"/>
      <c r="T93" s="49"/>
      <c r="U93" s="49"/>
      <c r="V93" s="49"/>
      <c r="W93" s="49"/>
      <c r="X93" s="49"/>
      <c r="Y93" s="49"/>
      <c r="Z93" s="49"/>
    </row>
    <row r="94" spans="1:26" ht="14.25" customHeight="1" x14ac:dyDescent="0.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9"/>
      <c r="T94" s="49"/>
      <c r="U94" s="49"/>
      <c r="V94" s="49"/>
      <c r="W94" s="49"/>
      <c r="X94" s="49"/>
      <c r="Y94" s="49"/>
      <c r="Z94" s="49"/>
    </row>
    <row r="95" spans="1:26" ht="14.25" customHeight="1" x14ac:dyDescent="0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9"/>
      <c r="T95" s="49"/>
      <c r="U95" s="49"/>
      <c r="V95" s="49"/>
      <c r="W95" s="49"/>
      <c r="X95" s="49"/>
      <c r="Y95" s="49"/>
      <c r="Z95" s="49"/>
    </row>
    <row r="96" spans="1:26" ht="14.25" customHeight="1" x14ac:dyDescent="0.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9"/>
      <c r="T96" s="49"/>
      <c r="U96" s="49"/>
      <c r="V96" s="49"/>
      <c r="W96" s="49"/>
      <c r="X96" s="49"/>
      <c r="Y96" s="49"/>
      <c r="Z96" s="49"/>
    </row>
    <row r="97" spans="1:26" ht="14.25" customHeight="1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9"/>
      <c r="T97" s="49"/>
      <c r="U97" s="49"/>
      <c r="V97" s="49"/>
      <c r="W97" s="49"/>
      <c r="X97" s="49"/>
      <c r="Y97" s="49"/>
      <c r="Z97" s="49"/>
    </row>
    <row r="98" spans="1:26" ht="14.25" customHeight="1" x14ac:dyDescent="0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9"/>
      <c r="T98" s="49"/>
      <c r="U98" s="49"/>
      <c r="V98" s="49"/>
      <c r="W98" s="49"/>
      <c r="X98" s="49"/>
      <c r="Y98" s="49"/>
      <c r="Z98" s="49"/>
    </row>
    <row r="99" spans="1:26" ht="14.25" customHeight="1" x14ac:dyDescent="0.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9"/>
      <c r="T99" s="49"/>
      <c r="U99" s="49"/>
      <c r="V99" s="49"/>
      <c r="W99" s="49"/>
      <c r="X99" s="49"/>
      <c r="Y99" s="49"/>
      <c r="Z99" s="49"/>
    </row>
    <row r="100" spans="1:26" ht="14.25" customHeight="1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9"/>
      <c r="T100" s="49"/>
      <c r="U100" s="49"/>
      <c r="V100" s="49"/>
      <c r="W100" s="49"/>
      <c r="X100" s="49"/>
      <c r="Y100" s="49"/>
      <c r="Z100" s="49"/>
    </row>
    <row r="101" spans="1:26" ht="14.25" customHeight="1" x14ac:dyDescent="0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9"/>
      <c r="T101" s="49"/>
      <c r="U101" s="49"/>
      <c r="V101" s="49"/>
      <c r="W101" s="49"/>
      <c r="X101" s="49"/>
      <c r="Y101" s="49"/>
      <c r="Z101" s="49"/>
    </row>
    <row r="102" spans="1:26" ht="14.25" customHeight="1" x14ac:dyDescent="0.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9"/>
      <c r="T102" s="49"/>
      <c r="U102" s="49"/>
      <c r="V102" s="49"/>
      <c r="W102" s="49"/>
      <c r="X102" s="49"/>
      <c r="Y102" s="49"/>
      <c r="Z102" s="49"/>
    </row>
    <row r="103" spans="1:26" ht="14.25" customHeight="1" x14ac:dyDescent="0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9"/>
      <c r="T103" s="49"/>
      <c r="U103" s="49"/>
      <c r="V103" s="49"/>
      <c r="W103" s="49"/>
      <c r="X103" s="49"/>
      <c r="Y103" s="49"/>
      <c r="Z103" s="49"/>
    </row>
    <row r="104" spans="1:26" ht="14.25" customHeight="1" x14ac:dyDescent="0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9"/>
      <c r="T104" s="49"/>
      <c r="U104" s="49"/>
      <c r="V104" s="49"/>
      <c r="W104" s="49"/>
      <c r="X104" s="49"/>
      <c r="Y104" s="49"/>
      <c r="Z104" s="49"/>
    </row>
    <row r="105" spans="1:26" ht="14.25" customHeight="1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9"/>
      <c r="T105" s="49"/>
      <c r="U105" s="49"/>
      <c r="V105" s="49"/>
      <c r="W105" s="49"/>
      <c r="X105" s="49"/>
      <c r="Y105" s="49"/>
      <c r="Z105" s="49"/>
    </row>
    <row r="106" spans="1:26" ht="14.25" customHeight="1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9"/>
      <c r="T106" s="49"/>
      <c r="U106" s="49"/>
      <c r="V106" s="49"/>
      <c r="W106" s="49"/>
      <c r="X106" s="49"/>
      <c r="Y106" s="49"/>
      <c r="Z106" s="49"/>
    </row>
    <row r="107" spans="1:26" ht="14.25" customHeight="1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9"/>
      <c r="T107" s="49"/>
      <c r="U107" s="49"/>
      <c r="V107" s="49"/>
      <c r="W107" s="49"/>
      <c r="X107" s="49"/>
      <c r="Y107" s="49"/>
      <c r="Z107" s="49"/>
    </row>
    <row r="108" spans="1:26" ht="14.25" customHeight="1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9"/>
      <c r="T108" s="49"/>
      <c r="U108" s="49"/>
      <c r="V108" s="49"/>
      <c r="W108" s="49"/>
      <c r="X108" s="49"/>
      <c r="Y108" s="49"/>
      <c r="Z108" s="49"/>
    </row>
    <row r="109" spans="1:26" ht="14.25" customHeight="1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9"/>
      <c r="T109" s="49"/>
      <c r="U109" s="49"/>
      <c r="V109" s="49"/>
      <c r="W109" s="49"/>
      <c r="X109" s="49"/>
      <c r="Y109" s="49"/>
      <c r="Z109" s="49"/>
    </row>
    <row r="110" spans="1:26" ht="14.25" customHeight="1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9"/>
      <c r="T110" s="49"/>
      <c r="U110" s="49"/>
      <c r="V110" s="49"/>
      <c r="W110" s="49"/>
      <c r="X110" s="49"/>
      <c r="Y110" s="49"/>
      <c r="Z110" s="49"/>
    </row>
    <row r="111" spans="1:26" ht="14.25" customHeight="1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9"/>
      <c r="T111" s="49"/>
      <c r="U111" s="49"/>
      <c r="V111" s="49"/>
      <c r="W111" s="49"/>
      <c r="X111" s="49"/>
      <c r="Y111" s="49"/>
      <c r="Z111" s="49"/>
    </row>
    <row r="112" spans="1:26" ht="14.25" customHeight="1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9"/>
      <c r="T112" s="49"/>
      <c r="U112" s="49"/>
      <c r="V112" s="49"/>
      <c r="W112" s="49"/>
      <c r="X112" s="49"/>
      <c r="Y112" s="49"/>
      <c r="Z112" s="49"/>
    </row>
    <row r="113" spans="1:26" ht="14.25" customHeight="1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9"/>
      <c r="T113" s="49"/>
      <c r="U113" s="49"/>
      <c r="V113" s="49"/>
      <c r="W113" s="49"/>
      <c r="X113" s="49"/>
      <c r="Y113" s="49"/>
      <c r="Z113" s="49"/>
    </row>
    <row r="114" spans="1:26" ht="14.25" customHeight="1" x14ac:dyDescent="0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9"/>
      <c r="T114" s="49"/>
      <c r="U114" s="49"/>
      <c r="V114" s="49"/>
      <c r="W114" s="49"/>
      <c r="X114" s="49"/>
      <c r="Y114" s="49"/>
      <c r="Z114" s="49"/>
    </row>
    <row r="115" spans="1:26" ht="14.25" customHeight="1" x14ac:dyDescent="0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9"/>
      <c r="T115" s="49"/>
      <c r="U115" s="49"/>
      <c r="V115" s="49"/>
      <c r="W115" s="49"/>
      <c r="X115" s="49"/>
      <c r="Y115" s="49"/>
      <c r="Z115" s="49"/>
    </row>
    <row r="116" spans="1:26" ht="14.25" customHeight="1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9"/>
      <c r="T116" s="49"/>
      <c r="U116" s="49"/>
      <c r="V116" s="49"/>
      <c r="W116" s="49"/>
      <c r="X116" s="49"/>
      <c r="Y116" s="49"/>
      <c r="Z116" s="49"/>
    </row>
    <row r="117" spans="1:26" ht="14.25" customHeight="1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9"/>
      <c r="T117" s="49"/>
      <c r="U117" s="49"/>
      <c r="V117" s="49"/>
      <c r="W117" s="49"/>
      <c r="X117" s="49"/>
      <c r="Y117" s="49"/>
      <c r="Z117" s="49"/>
    </row>
    <row r="118" spans="1:26" ht="14.25" customHeight="1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9"/>
      <c r="T118" s="49"/>
      <c r="U118" s="49"/>
      <c r="V118" s="49"/>
      <c r="W118" s="49"/>
      <c r="X118" s="49"/>
      <c r="Y118" s="49"/>
      <c r="Z118" s="49"/>
    </row>
    <row r="119" spans="1:26" ht="14.25" customHeight="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9"/>
      <c r="T119" s="49"/>
      <c r="U119" s="49"/>
      <c r="V119" s="49"/>
      <c r="W119" s="49"/>
      <c r="X119" s="49"/>
      <c r="Y119" s="49"/>
      <c r="Z119" s="49"/>
    </row>
    <row r="120" spans="1:26" ht="14.25" customHeight="1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9"/>
      <c r="T120" s="49"/>
      <c r="U120" s="49"/>
      <c r="V120" s="49"/>
      <c r="W120" s="49"/>
      <c r="X120" s="49"/>
      <c r="Y120" s="49"/>
      <c r="Z120" s="49"/>
    </row>
    <row r="121" spans="1:26" ht="14.25" customHeight="1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9"/>
      <c r="T121" s="49"/>
      <c r="U121" s="49"/>
      <c r="V121" s="49"/>
      <c r="W121" s="49"/>
      <c r="X121" s="49"/>
      <c r="Y121" s="49"/>
      <c r="Z121" s="49"/>
    </row>
    <row r="122" spans="1:26" ht="14.25" customHeight="1" x14ac:dyDescent="0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9"/>
      <c r="T122" s="49"/>
      <c r="U122" s="49"/>
      <c r="V122" s="49"/>
      <c r="W122" s="49"/>
      <c r="X122" s="49"/>
      <c r="Y122" s="49"/>
      <c r="Z122" s="49"/>
    </row>
    <row r="123" spans="1:26" ht="14.25" customHeight="1" x14ac:dyDescent="0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9"/>
      <c r="T123" s="49"/>
      <c r="U123" s="49"/>
      <c r="V123" s="49"/>
      <c r="W123" s="49"/>
      <c r="X123" s="49"/>
      <c r="Y123" s="49"/>
      <c r="Z123" s="49"/>
    </row>
    <row r="124" spans="1:26" ht="14.25" customHeight="1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9"/>
      <c r="T124" s="49"/>
      <c r="U124" s="49"/>
      <c r="V124" s="49"/>
      <c r="W124" s="49"/>
      <c r="X124" s="49"/>
      <c r="Y124" s="49"/>
      <c r="Z124" s="49"/>
    </row>
    <row r="125" spans="1:26" ht="14.25" customHeight="1" x14ac:dyDescent="0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9"/>
      <c r="T125" s="49"/>
      <c r="U125" s="49"/>
      <c r="V125" s="49"/>
      <c r="W125" s="49"/>
      <c r="X125" s="49"/>
      <c r="Y125" s="49"/>
      <c r="Z125" s="49"/>
    </row>
    <row r="126" spans="1:26" ht="14.25" customHeight="1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9"/>
      <c r="T126" s="49"/>
      <c r="U126" s="49"/>
      <c r="V126" s="49"/>
      <c r="W126" s="49"/>
      <c r="X126" s="49"/>
      <c r="Y126" s="49"/>
      <c r="Z126" s="49"/>
    </row>
    <row r="127" spans="1:26" ht="14.25" customHeight="1" x14ac:dyDescent="0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9"/>
      <c r="T127" s="49"/>
      <c r="U127" s="49"/>
      <c r="V127" s="49"/>
      <c r="W127" s="49"/>
      <c r="X127" s="49"/>
      <c r="Y127" s="49"/>
      <c r="Z127" s="49"/>
    </row>
    <row r="128" spans="1:26" ht="14.25" customHeight="1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9"/>
      <c r="T128" s="49"/>
      <c r="U128" s="49"/>
      <c r="V128" s="49"/>
      <c r="W128" s="49"/>
      <c r="X128" s="49"/>
      <c r="Y128" s="49"/>
      <c r="Z128" s="49"/>
    </row>
    <row r="129" spans="1:26" ht="14.25" customHeight="1" x14ac:dyDescent="0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9"/>
      <c r="T129" s="49"/>
      <c r="U129" s="49"/>
      <c r="V129" s="49"/>
      <c r="W129" s="49"/>
      <c r="X129" s="49"/>
      <c r="Y129" s="49"/>
      <c r="Z129" s="49"/>
    </row>
    <row r="130" spans="1:26" ht="14.25" customHeight="1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9"/>
      <c r="T130" s="49"/>
      <c r="U130" s="49"/>
      <c r="V130" s="49"/>
      <c r="W130" s="49"/>
      <c r="X130" s="49"/>
      <c r="Y130" s="49"/>
      <c r="Z130" s="49"/>
    </row>
    <row r="131" spans="1:26" ht="14.25" customHeight="1" x14ac:dyDescent="0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9"/>
      <c r="T131" s="49"/>
      <c r="U131" s="49"/>
      <c r="V131" s="49"/>
      <c r="W131" s="49"/>
      <c r="X131" s="49"/>
      <c r="Y131" s="49"/>
      <c r="Z131" s="49"/>
    </row>
    <row r="132" spans="1:26" ht="14.25" customHeight="1" x14ac:dyDescent="0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9"/>
      <c r="T132" s="49"/>
      <c r="U132" s="49"/>
      <c r="V132" s="49"/>
      <c r="W132" s="49"/>
      <c r="X132" s="49"/>
      <c r="Y132" s="49"/>
      <c r="Z132" s="49"/>
    </row>
    <row r="133" spans="1:26" ht="14.25" customHeight="1" x14ac:dyDescent="0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9"/>
      <c r="T133" s="49"/>
      <c r="U133" s="49"/>
      <c r="V133" s="49"/>
      <c r="W133" s="49"/>
      <c r="X133" s="49"/>
      <c r="Y133" s="49"/>
      <c r="Z133" s="49"/>
    </row>
    <row r="134" spans="1:26" ht="14.25" customHeight="1" x14ac:dyDescent="0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9"/>
      <c r="T134" s="49"/>
      <c r="U134" s="49"/>
      <c r="V134" s="49"/>
      <c r="W134" s="49"/>
      <c r="X134" s="49"/>
      <c r="Y134" s="49"/>
      <c r="Z134" s="49"/>
    </row>
    <row r="135" spans="1:26" ht="14.25" customHeight="1" x14ac:dyDescent="0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9"/>
      <c r="T135" s="49"/>
      <c r="U135" s="49"/>
      <c r="V135" s="49"/>
      <c r="W135" s="49"/>
      <c r="X135" s="49"/>
      <c r="Y135" s="49"/>
      <c r="Z135" s="49"/>
    </row>
    <row r="136" spans="1:26" ht="14.25" customHeight="1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9"/>
      <c r="T136" s="49"/>
      <c r="U136" s="49"/>
      <c r="V136" s="49"/>
      <c r="W136" s="49"/>
      <c r="X136" s="49"/>
      <c r="Y136" s="49"/>
      <c r="Z136" s="49"/>
    </row>
    <row r="137" spans="1:26" ht="14.25" customHeight="1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9"/>
      <c r="T137" s="49"/>
      <c r="U137" s="49"/>
      <c r="V137" s="49"/>
      <c r="W137" s="49"/>
      <c r="X137" s="49"/>
      <c r="Y137" s="49"/>
      <c r="Z137" s="49"/>
    </row>
    <row r="138" spans="1:26" ht="14.25" customHeight="1" x14ac:dyDescent="0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9"/>
      <c r="T138" s="49"/>
      <c r="U138" s="49"/>
      <c r="V138" s="49"/>
      <c r="W138" s="49"/>
      <c r="X138" s="49"/>
      <c r="Y138" s="49"/>
      <c r="Z138" s="49"/>
    </row>
    <row r="139" spans="1:26" ht="14.25" customHeight="1" x14ac:dyDescent="0.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9"/>
      <c r="T139" s="49"/>
      <c r="U139" s="49"/>
      <c r="V139" s="49"/>
      <c r="W139" s="49"/>
      <c r="X139" s="49"/>
      <c r="Y139" s="49"/>
      <c r="Z139" s="49"/>
    </row>
    <row r="140" spans="1:26" ht="14.25" customHeight="1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9"/>
      <c r="T140" s="49"/>
      <c r="U140" s="49"/>
      <c r="V140" s="49"/>
      <c r="W140" s="49"/>
      <c r="X140" s="49"/>
      <c r="Y140" s="49"/>
      <c r="Z140" s="49"/>
    </row>
    <row r="141" spans="1:26" ht="14.25" customHeight="1" x14ac:dyDescent="0.2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9"/>
      <c r="T141" s="49"/>
      <c r="U141" s="49"/>
      <c r="V141" s="49"/>
      <c r="W141" s="49"/>
      <c r="X141" s="49"/>
      <c r="Y141" s="49"/>
      <c r="Z141" s="49"/>
    </row>
    <row r="142" spans="1:26" ht="14.25" customHeight="1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9"/>
      <c r="T142" s="49"/>
      <c r="U142" s="49"/>
      <c r="V142" s="49"/>
      <c r="W142" s="49"/>
      <c r="X142" s="49"/>
      <c r="Y142" s="49"/>
      <c r="Z142" s="49"/>
    </row>
    <row r="143" spans="1:26" ht="14.25" customHeight="1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9"/>
      <c r="T143" s="49"/>
      <c r="U143" s="49"/>
      <c r="V143" s="49"/>
      <c r="W143" s="49"/>
      <c r="X143" s="49"/>
      <c r="Y143" s="49"/>
      <c r="Z143" s="49"/>
    </row>
    <row r="144" spans="1:26" ht="14.25" customHeight="1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9"/>
      <c r="T144" s="49"/>
      <c r="U144" s="49"/>
      <c r="V144" s="49"/>
      <c r="W144" s="49"/>
      <c r="X144" s="49"/>
      <c r="Y144" s="49"/>
      <c r="Z144" s="49"/>
    </row>
    <row r="145" spans="1:26" ht="14.25" customHeight="1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9"/>
      <c r="T145" s="49"/>
      <c r="U145" s="49"/>
      <c r="V145" s="49"/>
      <c r="W145" s="49"/>
      <c r="X145" s="49"/>
      <c r="Y145" s="49"/>
      <c r="Z145" s="49"/>
    </row>
    <row r="146" spans="1:26" ht="14.25" customHeight="1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9"/>
      <c r="T146" s="49"/>
      <c r="U146" s="49"/>
      <c r="V146" s="49"/>
      <c r="W146" s="49"/>
      <c r="X146" s="49"/>
      <c r="Y146" s="49"/>
      <c r="Z146" s="49"/>
    </row>
    <row r="147" spans="1:26" ht="14.25" customHeight="1" x14ac:dyDescent="0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9"/>
      <c r="T147" s="49"/>
      <c r="U147" s="49"/>
      <c r="V147" s="49"/>
      <c r="W147" s="49"/>
      <c r="X147" s="49"/>
      <c r="Y147" s="49"/>
      <c r="Z147" s="49"/>
    </row>
    <row r="148" spans="1:26" ht="14.25" customHeight="1" x14ac:dyDescent="0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9"/>
      <c r="T148" s="49"/>
      <c r="U148" s="49"/>
      <c r="V148" s="49"/>
      <c r="W148" s="49"/>
      <c r="X148" s="49"/>
      <c r="Y148" s="49"/>
      <c r="Z148" s="49"/>
    </row>
    <row r="149" spans="1:26" ht="14.25" customHeight="1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9"/>
      <c r="T149" s="49"/>
      <c r="U149" s="49"/>
      <c r="V149" s="49"/>
      <c r="W149" s="49"/>
      <c r="X149" s="49"/>
      <c r="Y149" s="49"/>
      <c r="Z149" s="49"/>
    </row>
    <row r="150" spans="1:26" ht="14.25" customHeight="1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9"/>
      <c r="T150" s="49"/>
      <c r="U150" s="49"/>
      <c r="V150" s="49"/>
      <c r="W150" s="49"/>
      <c r="X150" s="49"/>
      <c r="Y150" s="49"/>
      <c r="Z150" s="49"/>
    </row>
    <row r="151" spans="1:26" ht="14.25" customHeight="1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9"/>
      <c r="T151" s="49"/>
      <c r="U151" s="49"/>
      <c r="V151" s="49"/>
      <c r="W151" s="49"/>
      <c r="X151" s="49"/>
      <c r="Y151" s="49"/>
      <c r="Z151" s="49"/>
    </row>
    <row r="152" spans="1:26" ht="14.25" customHeight="1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9"/>
      <c r="T152" s="49"/>
      <c r="U152" s="49"/>
      <c r="V152" s="49"/>
      <c r="W152" s="49"/>
      <c r="X152" s="49"/>
      <c r="Y152" s="49"/>
      <c r="Z152" s="49"/>
    </row>
    <row r="153" spans="1:26" ht="14.25" customHeight="1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9"/>
      <c r="T153" s="49"/>
      <c r="U153" s="49"/>
      <c r="V153" s="49"/>
      <c r="W153" s="49"/>
      <c r="X153" s="49"/>
      <c r="Y153" s="49"/>
      <c r="Z153" s="49"/>
    </row>
    <row r="154" spans="1:26" ht="14.25" customHeight="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9"/>
      <c r="T154" s="49"/>
      <c r="U154" s="49"/>
      <c r="V154" s="49"/>
      <c r="W154" s="49"/>
      <c r="X154" s="49"/>
      <c r="Y154" s="49"/>
      <c r="Z154" s="49"/>
    </row>
    <row r="155" spans="1:26" ht="14.25" customHeight="1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9"/>
      <c r="T155" s="49"/>
      <c r="U155" s="49"/>
      <c r="V155" s="49"/>
      <c r="W155" s="49"/>
      <c r="X155" s="49"/>
      <c r="Y155" s="49"/>
      <c r="Z155" s="49"/>
    </row>
    <row r="156" spans="1:26" ht="14.25" customHeight="1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9"/>
      <c r="T156" s="49"/>
      <c r="U156" s="49"/>
      <c r="V156" s="49"/>
      <c r="W156" s="49"/>
      <c r="X156" s="49"/>
      <c r="Y156" s="49"/>
      <c r="Z156" s="49"/>
    </row>
    <row r="157" spans="1:26" ht="14.25" customHeight="1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9"/>
      <c r="T157" s="49"/>
      <c r="U157" s="49"/>
      <c r="V157" s="49"/>
      <c r="W157" s="49"/>
      <c r="X157" s="49"/>
      <c r="Y157" s="49"/>
      <c r="Z157" s="49"/>
    </row>
    <row r="158" spans="1:26" ht="14.25" customHeight="1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9"/>
      <c r="T158" s="49"/>
      <c r="U158" s="49"/>
      <c r="V158" s="49"/>
      <c r="W158" s="49"/>
      <c r="X158" s="49"/>
      <c r="Y158" s="49"/>
      <c r="Z158" s="49"/>
    </row>
    <row r="159" spans="1:26" ht="14.25" customHeight="1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9"/>
      <c r="T159" s="49"/>
      <c r="U159" s="49"/>
      <c r="V159" s="49"/>
      <c r="W159" s="49"/>
      <c r="X159" s="49"/>
      <c r="Y159" s="49"/>
      <c r="Z159" s="49"/>
    </row>
    <row r="160" spans="1:26" ht="14.25" customHeight="1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9"/>
      <c r="T160" s="49"/>
      <c r="U160" s="49"/>
      <c r="V160" s="49"/>
      <c r="W160" s="49"/>
      <c r="X160" s="49"/>
      <c r="Y160" s="49"/>
      <c r="Z160" s="49"/>
    </row>
    <row r="161" spans="1:26" ht="14.25" customHeight="1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9"/>
      <c r="T161" s="49"/>
      <c r="U161" s="49"/>
      <c r="V161" s="49"/>
      <c r="W161" s="49"/>
      <c r="X161" s="49"/>
      <c r="Y161" s="49"/>
      <c r="Z161" s="49"/>
    </row>
    <row r="162" spans="1:26" ht="14.25" customHeight="1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9"/>
      <c r="T162" s="49"/>
      <c r="U162" s="49"/>
      <c r="V162" s="49"/>
      <c r="W162" s="49"/>
      <c r="X162" s="49"/>
      <c r="Y162" s="49"/>
      <c r="Z162" s="49"/>
    </row>
    <row r="163" spans="1:26" ht="14.25" customHeight="1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9"/>
      <c r="T163" s="49"/>
      <c r="U163" s="49"/>
      <c r="V163" s="49"/>
      <c r="W163" s="49"/>
      <c r="X163" s="49"/>
      <c r="Y163" s="49"/>
      <c r="Z163" s="49"/>
    </row>
    <row r="164" spans="1:26" ht="14.25" customHeight="1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9"/>
      <c r="T164" s="49"/>
      <c r="U164" s="49"/>
      <c r="V164" s="49"/>
      <c r="W164" s="49"/>
      <c r="X164" s="49"/>
      <c r="Y164" s="49"/>
      <c r="Z164" s="49"/>
    </row>
    <row r="165" spans="1:26" ht="14.25" customHeight="1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9"/>
      <c r="T165" s="49"/>
      <c r="U165" s="49"/>
      <c r="V165" s="49"/>
      <c r="W165" s="49"/>
      <c r="X165" s="49"/>
      <c r="Y165" s="49"/>
      <c r="Z165" s="49"/>
    </row>
    <row r="166" spans="1:26" ht="14.25" customHeight="1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9"/>
      <c r="T166" s="49"/>
      <c r="U166" s="49"/>
      <c r="V166" s="49"/>
      <c r="W166" s="49"/>
      <c r="X166" s="49"/>
      <c r="Y166" s="49"/>
      <c r="Z166" s="49"/>
    </row>
    <row r="167" spans="1:26" ht="14.25" customHeight="1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9"/>
      <c r="T167" s="49"/>
      <c r="U167" s="49"/>
      <c r="V167" s="49"/>
      <c r="W167" s="49"/>
      <c r="X167" s="49"/>
      <c r="Y167" s="49"/>
      <c r="Z167" s="49"/>
    </row>
    <row r="168" spans="1:26" ht="14.25" customHeight="1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9"/>
      <c r="T168" s="49"/>
      <c r="U168" s="49"/>
      <c r="V168" s="49"/>
      <c r="W168" s="49"/>
      <c r="X168" s="49"/>
      <c r="Y168" s="49"/>
      <c r="Z168" s="49"/>
    </row>
    <row r="169" spans="1:26" ht="14.25" customHeight="1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9"/>
      <c r="T169" s="49"/>
      <c r="U169" s="49"/>
      <c r="V169" s="49"/>
      <c r="W169" s="49"/>
      <c r="X169" s="49"/>
      <c r="Y169" s="49"/>
      <c r="Z169" s="49"/>
    </row>
    <row r="170" spans="1:26" ht="14.25" customHeight="1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9"/>
      <c r="T170" s="49"/>
      <c r="U170" s="49"/>
      <c r="V170" s="49"/>
      <c r="W170" s="49"/>
      <c r="X170" s="49"/>
      <c r="Y170" s="49"/>
      <c r="Z170" s="49"/>
    </row>
    <row r="171" spans="1:26" ht="14.25" customHeight="1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9"/>
      <c r="T171" s="49"/>
      <c r="U171" s="49"/>
      <c r="V171" s="49"/>
      <c r="W171" s="49"/>
      <c r="X171" s="49"/>
      <c r="Y171" s="49"/>
      <c r="Z171" s="49"/>
    </row>
    <row r="172" spans="1:26" ht="14.25" customHeight="1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9"/>
      <c r="T172" s="49"/>
      <c r="U172" s="49"/>
      <c r="V172" s="49"/>
      <c r="W172" s="49"/>
      <c r="X172" s="49"/>
      <c r="Y172" s="49"/>
      <c r="Z172" s="49"/>
    </row>
    <row r="173" spans="1:26" ht="14.25" customHeight="1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9"/>
      <c r="T173" s="49"/>
      <c r="U173" s="49"/>
      <c r="V173" s="49"/>
      <c r="W173" s="49"/>
      <c r="X173" s="49"/>
      <c r="Y173" s="49"/>
      <c r="Z173" s="49"/>
    </row>
    <row r="174" spans="1:26" ht="14.25" customHeight="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9"/>
      <c r="T174" s="49"/>
      <c r="U174" s="49"/>
      <c r="V174" s="49"/>
      <c r="W174" s="49"/>
      <c r="X174" s="49"/>
      <c r="Y174" s="49"/>
      <c r="Z174" s="49"/>
    </row>
    <row r="175" spans="1:26" ht="14.25" customHeight="1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9"/>
      <c r="T175" s="49"/>
      <c r="U175" s="49"/>
      <c r="V175" s="49"/>
      <c r="W175" s="49"/>
      <c r="X175" s="49"/>
      <c r="Y175" s="49"/>
      <c r="Z175" s="49"/>
    </row>
    <row r="176" spans="1:26" ht="14.25" customHeight="1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9"/>
      <c r="T176" s="49"/>
      <c r="U176" s="49"/>
      <c r="V176" s="49"/>
      <c r="W176" s="49"/>
      <c r="X176" s="49"/>
      <c r="Y176" s="49"/>
      <c r="Z176" s="49"/>
    </row>
    <row r="177" spans="1:26" ht="14.25" customHeight="1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9"/>
      <c r="T177" s="49"/>
      <c r="U177" s="49"/>
      <c r="V177" s="49"/>
      <c r="W177" s="49"/>
      <c r="X177" s="49"/>
      <c r="Y177" s="49"/>
      <c r="Z177" s="49"/>
    </row>
    <row r="178" spans="1:26" ht="14.25" customHeight="1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9"/>
      <c r="T178" s="49"/>
      <c r="U178" s="49"/>
      <c r="V178" s="49"/>
      <c r="W178" s="49"/>
      <c r="X178" s="49"/>
      <c r="Y178" s="49"/>
      <c r="Z178" s="49"/>
    </row>
    <row r="179" spans="1:26" ht="14.25" customHeight="1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9"/>
      <c r="T179" s="49"/>
      <c r="U179" s="49"/>
      <c r="V179" s="49"/>
      <c r="W179" s="49"/>
      <c r="X179" s="49"/>
      <c r="Y179" s="49"/>
      <c r="Z179" s="49"/>
    </row>
    <row r="180" spans="1:26" ht="14.25" customHeight="1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9"/>
      <c r="T180" s="49"/>
      <c r="U180" s="49"/>
      <c r="V180" s="49"/>
      <c r="W180" s="49"/>
      <c r="X180" s="49"/>
      <c r="Y180" s="49"/>
      <c r="Z180" s="49"/>
    </row>
    <row r="181" spans="1:26" ht="14.25" customHeight="1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9"/>
      <c r="T181" s="49"/>
      <c r="U181" s="49"/>
      <c r="V181" s="49"/>
      <c r="W181" s="49"/>
      <c r="X181" s="49"/>
      <c r="Y181" s="49"/>
      <c r="Z181" s="49"/>
    </row>
    <row r="182" spans="1:26" ht="14.25" customHeight="1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9"/>
      <c r="T182" s="49"/>
      <c r="U182" s="49"/>
      <c r="V182" s="49"/>
      <c r="W182" s="49"/>
      <c r="X182" s="49"/>
      <c r="Y182" s="49"/>
      <c r="Z182" s="49"/>
    </row>
    <row r="183" spans="1:26" ht="14.25" customHeight="1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9"/>
      <c r="T183" s="49"/>
      <c r="U183" s="49"/>
      <c r="V183" s="49"/>
      <c r="W183" s="49"/>
      <c r="X183" s="49"/>
      <c r="Y183" s="49"/>
      <c r="Z183" s="49"/>
    </row>
    <row r="184" spans="1:26" ht="14.25" customHeight="1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9"/>
      <c r="T184" s="49"/>
      <c r="U184" s="49"/>
      <c r="V184" s="49"/>
      <c r="W184" s="49"/>
      <c r="X184" s="49"/>
      <c r="Y184" s="49"/>
      <c r="Z184" s="49"/>
    </row>
    <row r="185" spans="1:26" ht="14.25" customHeight="1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9"/>
      <c r="T185" s="49"/>
      <c r="U185" s="49"/>
      <c r="V185" s="49"/>
      <c r="W185" s="49"/>
      <c r="X185" s="49"/>
      <c r="Y185" s="49"/>
      <c r="Z185" s="49"/>
    </row>
    <row r="186" spans="1:26" ht="14.25" customHeight="1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9"/>
      <c r="T186" s="49"/>
      <c r="U186" s="49"/>
      <c r="V186" s="49"/>
      <c r="W186" s="49"/>
      <c r="X186" s="49"/>
      <c r="Y186" s="49"/>
      <c r="Z186" s="49"/>
    </row>
    <row r="187" spans="1:26" ht="14.25" customHeight="1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9"/>
      <c r="T187" s="49"/>
      <c r="U187" s="49"/>
      <c r="V187" s="49"/>
      <c r="W187" s="49"/>
      <c r="X187" s="49"/>
      <c r="Y187" s="49"/>
      <c r="Z187" s="49"/>
    </row>
    <row r="188" spans="1:26" ht="14.25" customHeight="1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9"/>
      <c r="T188" s="49"/>
      <c r="U188" s="49"/>
      <c r="V188" s="49"/>
      <c r="W188" s="49"/>
      <c r="X188" s="49"/>
      <c r="Y188" s="49"/>
      <c r="Z188" s="49"/>
    </row>
    <row r="189" spans="1:26" ht="14.25" customHeight="1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9"/>
      <c r="T189" s="49"/>
      <c r="U189" s="49"/>
      <c r="V189" s="49"/>
      <c r="W189" s="49"/>
      <c r="X189" s="49"/>
      <c r="Y189" s="49"/>
      <c r="Z189" s="49"/>
    </row>
    <row r="190" spans="1:26" ht="14.25" customHeight="1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9"/>
      <c r="T190" s="49"/>
      <c r="U190" s="49"/>
      <c r="V190" s="49"/>
      <c r="W190" s="49"/>
      <c r="X190" s="49"/>
      <c r="Y190" s="49"/>
      <c r="Z190" s="49"/>
    </row>
    <row r="191" spans="1:26" ht="14.25" customHeight="1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9"/>
      <c r="T191" s="49"/>
      <c r="U191" s="49"/>
      <c r="V191" s="49"/>
      <c r="W191" s="49"/>
      <c r="X191" s="49"/>
      <c r="Y191" s="49"/>
      <c r="Z191" s="49"/>
    </row>
    <row r="192" spans="1:26" ht="14.25" customHeight="1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9"/>
      <c r="T192" s="49"/>
      <c r="U192" s="49"/>
      <c r="V192" s="49"/>
      <c r="W192" s="49"/>
      <c r="X192" s="49"/>
      <c r="Y192" s="49"/>
      <c r="Z192" s="49"/>
    </row>
    <row r="193" spans="1:26" ht="14.25" customHeight="1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9"/>
      <c r="T193" s="49"/>
      <c r="U193" s="49"/>
      <c r="V193" s="49"/>
      <c r="W193" s="49"/>
      <c r="X193" s="49"/>
      <c r="Y193" s="49"/>
      <c r="Z193" s="49"/>
    </row>
    <row r="194" spans="1:26" ht="14.25" customHeight="1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9"/>
      <c r="T194" s="49"/>
      <c r="U194" s="49"/>
      <c r="V194" s="49"/>
      <c r="W194" s="49"/>
      <c r="X194" s="49"/>
      <c r="Y194" s="49"/>
      <c r="Z194" s="49"/>
    </row>
    <row r="195" spans="1:26" ht="14.25" customHeight="1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9"/>
      <c r="T195" s="49"/>
      <c r="U195" s="49"/>
      <c r="V195" s="49"/>
      <c r="W195" s="49"/>
      <c r="X195" s="49"/>
      <c r="Y195" s="49"/>
      <c r="Z195" s="49"/>
    </row>
    <row r="196" spans="1:26" ht="14.25" customHeight="1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9"/>
      <c r="T196" s="49"/>
      <c r="U196" s="49"/>
      <c r="V196" s="49"/>
      <c r="W196" s="49"/>
      <c r="X196" s="49"/>
      <c r="Y196" s="49"/>
      <c r="Z196" s="49"/>
    </row>
    <row r="197" spans="1:26" ht="14.25" customHeight="1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9"/>
      <c r="T197" s="49"/>
      <c r="U197" s="49"/>
      <c r="V197" s="49"/>
      <c r="W197" s="49"/>
      <c r="X197" s="49"/>
      <c r="Y197" s="49"/>
      <c r="Z197" s="49"/>
    </row>
    <row r="198" spans="1:26" ht="14.25" customHeight="1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9"/>
      <c r="T198" s="49"/>
      <c r="U198" s="49"/>
      <c r="V198" s="49"/>
      <c r="W198" s="49"/>
      <c r="X198" s="49"/>
      <c r="Y198" s="49"/>
      <c r="Z198" s="49"/>
    </row>
    <row r="199" spans="1:26" ht="14.25" customHeight="1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9"/>
      <c r="T199" s="49"/>
      <c r="U199" s="49"/>
      <c r="V199" s="49"/>
      <c r="W199" s="49"/>
      <c r="X199" s="49"/>
      <c r="Y199" s="49"/>
      <c r="Z199" s="49"/>
    </row>
    <row r="200" spans="1:26" ht="14.25" customHeight="1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9"/>
      <c r="T200" s="49"/>
      <c r="U200" s="49"/>
      <c r="V200" s="49"/>
      <c r="W200" s="49"/>
      <c r="X200" s="49"/>
      <c r="Y200" s="49"/>
      <c r="Z200" s="49"/>
    </row>
    <row r="201" spans="1:26" ht="14.25" customHeight="1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9"/>
      <c r="T201" s="49"/>
      <c r="U201" s="49"/>
      <c r="V201" s="49"/>
      <c r="W201" s="49"/>
      <c r="X201" s="49"/>
      <c r="Y201" s="49"/>
      <c r="Z201" s="49"/>
    </row>
    <row r="202" spans="1:26" ht="14.25" customHeight="1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9"/>
      <c r="T202" s="49"/>
      <c r="U202" s="49"/>
      <c r="V202" s="49"/>
      <c r="W202" s="49"/>
      <c r="X202" s="49"/>
      <c r="Y202" s="49"/>
      <c r="Z202" s="49"/>
    </row>
    <row r="203" spans="1:26" ht="14.25" customHeight="1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9"/>
      <c r="T203" s="49"/>
      <c r="U203" s="49"/>
      <c r="V203" s="49"/>
      <c r="W203" s="49"/>
      <c r="X203" s="49"/>
      <c r="Y203" s="49"/>
      <c r="Z203" s="49"/>
    </row>
    <row r="204" spans="1:26" ht="14.25" customHeight="1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9"/>
      <c r="T204" s="49"/>
      <c r="U204" s="49"/>
      <c r="V204" s="49"/>
      <c r="W204" s="49"/>
      <c r="X204" s="49"/>
      <c r="Y204" s="49"/>
      <c r="Z204" s="49"/>
    </row>
    <row r="205" spans="1:26" ht="14.25" customHeight="1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9"/>
      <c r="T205" s="49"/>
      <c r="U205" s="49"/>
      <c r="V205" s="49"/>
      <c r="W205" s="49"/>
      <c r="X205" s="49"/>
      <c r="Y205" s="49"/>
      <c r="Z205" s="49"/>
    </row>
    <row r="206" spans="1:26" ht="14.25" customHeight="1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9"/>
      <c r="T206" s="49"/>
      <c r="U206" s="49"/>
      <c r="V206" s="49"/>
      <c r="W206" s="49"/>
      <c r="X206" s="49"/>
      <c r="Y206" s="49"/>
      <c r="Z206" s="49"/>
    </row>
    <row r="207" spans="1:26" ht="14.25" customHeight="1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9"/>
      <c r="T207" s="49"/>
      <c r="U207" s="49"/>
      <c r="V207" s="49"/>
      <c r="W207" s="49"/>
      <c r="X207" s="49"/>
      <c r="Y207" s="49"/>
      <c r="Z207" s="49"/>
    </row>
    <row r="208" spans="1:26" ht="14.25" customHeight="1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9"/>
      <c r="T208" s="49"/>
      <c r="U208" s="49"/>
      <c r="V208" s="49"/>
      <c r="W208" s="49"/>
      <c r="X208" s="49"/>
      <c r="Y208" s="49"/>
      <c r="Z208" s="49"/>
    </row>
    <row r="209" spans="1:26" ht="14.25" customHeight="1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9"/>
      <c r="T209" s="49"/>
      <c r="U209" s="49"/>
      <c r="V209" s="49"/>
      <c r="W209" s="49"/>
      <c r="X209" s="49"/>
      <c r="Y209" s="49"/>
      <c r="Z209" s="49"/>
    </row>
    <row r="210" spans="1:26" ht="14.25" customHeight="1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9"/>
      <c r="T210" s="49"/>
      <c r="U210" s="49"/>
      <c r="V210" s="49"/>
      <c r="W210" s="49"/>
      <c r="X210" s="49"/>
      <c r="Y210" s="49"/>
      <c r="Z210" s="49"/>
    </row>
    <row r="211" spans="1:26" ht="14.25" customHeight="1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9"/>
      <c r="T211" s="49"/>
      <c r="U211" s="49"/>
      <c r="V211" s="49"/>
      <c r="W211" s="49"/>
      <c r="X211" s="49"/>
      <c r="Y211" s="49"/>
      <c r="Z211" s="49"/>
    </row>
    <row r="212" spans="1:26" ht="14.25" customHeight="1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9"/>
      <c r="T212" s="49"/>
      <c r="U212" s="49"/>
      <c r="V212" s="49"/>
      <c r="W212" s="49"/>
      <c r="X212" s="49"/>
      <c r="Y212" s="49"/>
      <c r="Z212" s="49"/>
    </row>
    <row r="213" spans="1:26" ht="14.25" customHeight="1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9"/>
      <c r="T213" s="49"/>
      <c r="U213" s="49"/>
      <c r="V213" s="49"/>
      <c r="W213" s="49"/>
      <c r="X213" s="49"/>
      <c r="Y213" s="49"/>
      <c r="Z213" s="49"/>
    </row>
    <row r="214" spans="1:26" ht="14.25" customHeight="1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9"/>
      <c r="T214" s="49"/>
      <c r="U214" s="49"/>
      <c r="V214" s="49"/>
      <c r="W214" s="49"/>
      <c r="X214" s="49"/>
      <c r="Y214" s="49"/>
      <c r="Z214" s="49"/>
    </row>
    <row r="215" spans="1:26" ht="14.25" customHeight="1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9"/>
      <c r="T215" s="49"/>
      <c r="U215" s="49"/>
      <c r="V215" s="49"/>
      <c r="W215" s="49"/>
      <c r="X215" s="49"/>
      <c r="Y215" s="49"/>
      <c r="Z215" s="49"/>
    </row>
    <row r="216" spans="1:26" ht="14.25" customHeight="1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9"/>
      <c r="T216" s="49"/>
      <c r="U216" s="49"/>
      <c r="V216" s="49"/>
      <c r="W216" s="49"/>
      <c r="X216" s="49"/>
      <c r="Y216" s="49"/>
      <c r="Z216" s="49"/>
    </row>
    <row r="217" spans="1:26" ht="14.25" customHeight="1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9"/>
      <c r="T217" s="49"/>
      <c r="U217" s="49"/>
      <c r="V217" s="49"/>
      <c r="W217" s="49"/>
      <c r="X217" s="49"/>
      <c r="Y217" s="49"/>
      <c r="Z217" s="49"/>
    </row>
    <row r="218" spans="1:26" ht="14.25" customHeight="1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9"/>
      <c r="T218" s="49"/>
      <c r="U218" s="49"/>
      <c r="V218" s="49"/>
      <c r="W218" s="49"/>
      <c r="X218" s="49"/>
      <c r="Y218" s="49"/>
      <c r="Z218" s="49"/>
    </row>
    <row r="219" spans="1:26" ht="14.25" customHeight="1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9"/>
      <c r="T219" s="49"/>
      <c r="U219" s="49"/>
      <c r="V219" s="49"/>
      <c r="W219" s="49"/>
      <c r="X219" s="49"/>
      <c r="Y219" s="49"/>
      <c r="Z219" s="49"/>
    </row>
    <row r="220" spans="1:26" ht="14.25" customHeight="1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9"/>
      <c r="T220" s="49"/>
      <c r="U220" s="49"/>
      <c r="V220" s="49"/>
      <c r="W220" s="49"/>
      <c r="X220" s="49"/>
      <c r="Y220" s="49"/>
      <c r="Z220" s="49"/>
    </row>
    <row r="221" spans="1:26" ht="14.25" customHeight="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9"/>
      <c r="T221" s="49"/>
      <c r="U221" s="49"/>
      <c r="V221" s="49"/>
      <c r="W221" s="49"/>
      <c r="X221" s="49"/>
      <c r="Y221" s="49"/>
      <c r="Z221" s="49"/>
    </row>
    <row r="222" spans="1:26" ht="14.25" customHeight="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9"/>
      <c r="T222" s="49"/>
      <c r="U222" s="49"/>
      <c r="V222" s="49"/>
      <c r="W222" s="49"/>
      <c r="X222" s="49"/>
      <c r="Y222" s="49"/>
      <c r="Z222" s="49"/>
    </row>
    <row r="223" spans="1:26" ht="14.25" customHeight="1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9"/>
      <c r="T223" s="49"/>
      <c r="U223" s="49"/>
      <c r="V223" s="49"/>
      <c r="W223" s="49"/>
      <c r="X223" s="49"/>
      <c r="Y223" s="49"/>
      <c r="Z223" s="49"/>
    </row>
    <row r="224" spans="1:26" ht="14.25" customHeight="1" x14ac:dyDescent="0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9"/>
      <c r="T224" s="49"/>
      <c r="U224" s="49"/>
      <c r="V224" s="49"/>
      <c r="W224" s="49"/>
      <c r="X224" s="49"/>
      <c r="Y224" s="49"/>
      <c r="Z224" s="49"/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G1"/>
    <mergeCell ref="A22:B2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67.28515625" customWidth="1"/>
    <col min="3" max="3" width="15" customWidth="1"/>
    <col min="4" max="4" width="11.5703125" customWidth="1"/>
    <col min="5" max="5" width="24.42578125" customWidth="1"/>
    <col min="6" max="24" width="9" customWidth="1"/>
  </cols>
  <sheetData>
    <row r="1" spans="1:26" ht="13.5" customHeight="1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33" customHeight="1" x14ac:dyDescent="0.25">
      <c r="A2" s="379" t="s">
        <v>106</v>
      </c>
      <c r="B2" s="374"/>
      <c r="C2" s="374"/>
      <c r="D2" s="375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33" customHeight="1" x14ac:dyDescent="0.25">
      <c r="A3" s="69"/>
      <c r="B3" s="70" t="s">
        <v>107</v>
      </c>
      <c r="C3" s="71" t="s">
        <v>108</v>
      </c>
      <c r="D3" s="72">
        <v>490749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33" customHeight="1" x14ac:dyDescent="0.25">
      <c r="A4" s="380" t="s">
        <v>109</v>
      </c>
      <c r="B4" s="375"/>
      <c r="C4" s="73" t="s">
        <v>110</v>
      </c>
      <c r="D4" s="74">
        <f>SUM(D6:D16)</f>
        <v>3.3790820154498533</v>
      </c>
      <c r="E4" s="68"/>
      <c r="F4" s="68"/>
      <c r="G4" s="75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33" customHeight="1" x14ac:dyDescent="0.25">
      <c r="A5" s="76" t="s">
        <v>33</v>
      </c>
      <c r="B5" s="77" t="s">
        <v>34</v>
      </c>
      <c r="C5" s="78" t="s">
        <v>111</v>
      </c>
      <c r="D5" s="79" t="s">
        <v>112</v>
      </c>
      <c r="E5" s="80"/>
      <c r="F5" s="68"/>
      <c r="G5" s="75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33" customHeight="1" x14ac:dyDescent="0.25">
      <c r="A6" s="81">
        <v>1</v>
      </c>
      <c r="B6" s="81" t="s">
        <v>113</v>
      </c>
      <c r="C6" s="82">
        <v>53038</v>
      </c>
      <c r="D6" s="83">
        <f>C6/D3</f>
        <v>0.10807561502927159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33" customHeight="1" x14ac:dyDescent="0.25">
      <c r="A7" s="81">
        <v>2</v>
      </c>
      <c r="B7" s="81" t="s">
        <v>114</v>
      </c>
      <c r="C7" s="82">
        <v>214572.12</v>
      </c>
      <c r="D7" s="83">
        <f>C7/D3</f>
        <v>0.43723394240232788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33" customHeight="1" x14ac:dyDescent="0.25">
      <c r="A8" s="81">
        <v>3</v>
      </c>
      <c r="B8" s="81" t="s">
        <v>115</v>
      </c>
      <c r="C8" s="82">
        <v>83898</v>
      </c>
      <c r="D8" s="83">
        <f>C8/D3</f>
        <v>0.17095908499049411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33" customHeight="1" x14ac:dyDescent="0.25">
      <c r="A9" s="81">
        <v>4</v>
      </c>
      <c r="B9" s="81" t="s">
        <v>116</v>
      </c>
      <c r="C9" s="82">
        <v>158096</v>
      </c>
      <c r="D9" s="83">
        <f>C9/D3</f>
        <v>0.322152464905685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33" customHeight="1" x14ac:dyDescent="0.25">
      <c r="A10" s="81">
        <v>5</v>
      </c>
      <c r="B10" s="81" t="s">
        <v>117</v>
      </c>
      <c r="C10" s="82">
        <v>0</v>
      </c>
      <c r="D10" s="83">
        <f>C10/D3</f>
        <v>0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33" customHeight="1" x14ac:dyDescent="0.25">
      <c r="A11" s="81">
        <v>6</v>
      </c>
      <c r="B11" s="81" t="s">
        <v>118</v>
      </c>
      <c r="C11" s="82">
        <v>0</v>
      </c>
      <c r="D11" s="83">
        <f>C11/D3</f>
        <v>0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33" customHeight="1" x14ac:dyDescent="0.25">
      <c r="A12" s="81">
        <v>7</v>
      </c>
      <c r="B12" s="81" t="s">
        <v>119</v>
      </c>
      <c r="C12" s="82">
        <v>0</v>
      </c>
      <c r="D12" s="83">
        <f>C12/D3</f>
        <v>0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33" customHeight="1" x14ac:dyDescent="0.25">
      <c r="A13" s="81">
        <v>8</v>
      </c>
      <c r="B13" s="81" t="s">
        <v>120</v>
      </c>
      <c r="C13" s="82">
        <v>39300</v>
      </c>
      <c r="D13" s="83">
        <f>C13/D3</f>
        <v>8.0081671078290534E-2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33" customHeight="1" x14ac:dyDescent="0.25">
      <c r="A14" s="81">
        <v>9</v>
      </c>
      <c r="B14" s="81" t="s">
        <v>121</v>
      </c>
      <c r="C14" s="82">
        <f>2000*9</f>
        <v>18000</v>
      </c>
      <c r="D14" s="83">
        <f>C14/D3</f>
        <v>3.6678627974789553E-2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33" customHeight="1" x14ac:dyDescent="0.25">
      <c r="A15" s="81">
        <v>10</v>
      </c>
      <c r="B15" s="81" t="s">
        <v>122</v>
      </c>
      <c r="C15" s="82">
        <v>297146</v>
      </c>
      <c r="D15" s="83">
        <f>C15/D3</f>
        <v>0.60549486601093427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33" customHeight="1" x14ac:dyDescent="0.25">
      <c r="A16" s="81">
        <v>11</v>
      </c>
      <c r="B16" s="81" t="s">
        <v>123</v>
      </c>
      <c r="C16" s="82">
        <f>769231+25000</f>
        <v>794231</v>
      </c>
      <c r="D16" s="83">
        <f>C16/D3</f>
        <v>1.6184057430580603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33" customHeight="1" x14ac:dyDescent="0.25">
      <c r="A17" s="81" t="s">
        <v>124</v>
      </c>
      <c r="B17" s="84" t="s">
        <v>51</v>
      </c>
      <c r="C17" s="82">
        <f>SUM(C6:C16)</f>
        <v>1658281.12</v>
      </c>
      <c r="D17" s="81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33" customHeight="1" x14ac:dyDescent="0.25">
      <c r="A18" s="69">
        <v>12</v>
      </c>
      <c r="B18" s="69" t="s">
        <v>125</v>
      </c>
      <c r="C18" s="85">
        <f>C17*2%</f>
        <v>33165.6224</v>
      </c>
      <c r="D18" s="86">
        <f>C18/D3</f>
        <v>6.7581640308997062E-2</v>
      </c>
      <c r="E18" s="80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33" customHeight="1" x14ac:dyDescent="0.25">
      <c r="A19" s="69">
        <v>13</v>
      </c>
      <c r="B19" s="69" t="s">
        <v>53</v>
      </c>
      <c r="C19" s="85">
        <v>490749</v>
      </c>
      <c r="D19" s="86">
        <f>C19/D3</f>
        <v>1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33" customHeight="1" x14ac:dyDescent="0.25">
      <c r="A20" s="87" t="s">
        <v>126</v>
      </c>
      <c r="B20" s="87" t="s">
        <v>55</v>
      </c>
      <c r="C20" s="88">
        <f>(C18+C19+C17)/D3</f>
        <v>4.4466636557588499</v>
      </c>
      <c r="D20" s="89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3.5" customHeight="1" x14ac:dyDescent="0.25">
      <c r="A21" s="90"/>
      <c r="B21" s="91"/>
      <c r="C21" s="91"/>
      <c r="D21" s="92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3.5" customHeight="1" x14ac:dyDescent="0.2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3.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3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3.5" customHeight="1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3.5" customHeight="1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3.5" customHeight="1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3.5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3.5" customHeight="1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3.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3.5" customHeight="1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3.5" customHeight="1" x14ac:dyDescent="0.2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3.5" customHeight="1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3.5" customHeight="1" x14ac:dyDescent="0.2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3.5" customHeight="1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13.5" customHeight="1" x14ac:dyDescent="0.25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13.5" customHeight="1" x14ac:dyDescent="0.25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13.5" customHeight="1" x14ac:dyDescent="0.25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13.5" customHeight="1" x14ac:dyDescent="0.25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3.5" customHeight="1" x14ac:dyDescent="0.25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13.5" customHeight="1" x14ac:dyDescent="0.25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13.5" customHeight="1" x14ac:dyDescent="0.2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3.5" customHeight="1" x14ac:dyDescent="0.2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13.5" customHeight="1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3.5" customHeight="1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3.5" customHeight="1" x14ac:dyDescent="0.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3.5" customHeight="1" x14ac:dyDescent="0.2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3.5" customHeight="1" x14ac:dyDescent="0.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3.5" customHeight="1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3.5" customHeight="1" x14ac:dyDescent="0.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3.5" customHeight="1" x14ac:dyDescent="0.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3.5" customHeight="1" x14ac:dyDescent="0.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3.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3.5" customHeight="1" x14ac:dyDescent="0.2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3.5" customHeight="1" x14ac:dyDescent="0.2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13.5" customHeight="1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3.5" customHeight="1" x14ac:dyDescent="0.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3.5" customHeight="1" x14ac:dyDescent="0.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3.5" customHeight="1" x14ac:dyDescent="0.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3.5" customHeight="1" x14ac:dyDescent="0.2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3.5" customHeight="1" x14ac:dyDescent="0.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3.5" customHeight="1" x14ac:dyDescent="0.2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13.5" customHeight="1" x14ac:dyDescent="0.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3.5" customHeight="1" x14ac:dyDescent="0.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3.5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3.5" customHeight="1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3.5" customHeight="1" x14ac:dyDescent="0.2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3.5" customHeight="1" x14ac:dyDescent="0.2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3.5" customHeight="1" x14ac:dyDescent="0.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3.5" customHeight="1" x14ac:dyDescent="0.2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3.5" customHeight="1" x14ac:dyDescent="0.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3.5" customHeight="1" x14ac:dyDescent="0.2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3.5" customHeight="1" x14ac:dyDescent="0.2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13.5" customHeight="1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13.5" customHeight="1" x14ac:dyDescent="0.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3.5" customHeight="1" x14ac:dyDescent="0.2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3.5" customHeight="1" x14ac:dyDescent="0.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3.5" customHeight="1" x14ac:dyDescent="0.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13.5" customHeight="1" x14ac:dyDescent="0.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3.5" customHeight="1" x14ac:dyDescent="0.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3.5" customHeight="1" x14ac:dyDescent="0.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3.5" customHeight="1" x14ac:dyDescent="0.2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3.5" customHeight="1" x14ac:dyDescent="0.2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13.5" customHeight="1" x14ac:dyDescent="0.2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3.5" customHeight="1" x14ac:dyDescent="0.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3.5" customHeight="1" x14ac:dyDescent="0.2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3.5" customHeight="1" x14ac:dyDescent="0.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13.5" customHeight="1" x14ac:dyDescent="0.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3.5" customHeight="1" x14ac:dyDescent="0.2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3.5" customHeight="1" x14ac:dyDescent="0.2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3.5" customHeight="1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13.5" customHeight="1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3.5" customHeight="1" x14ac:dyDescent="0.2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13.5" customHeight="1" x14ac:dyDescent="0.2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3.5" customHeight="1" x14ac:dyDescent="0.2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3.5" customHeight="1" x14ac:dyDescent="0.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3.5" customHeight="1" x14ac:dyDescent="0.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13.5" customHeight="1" x14ac:dyDescent="0.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3.5" customHeight="1" x14ac:dyDescent="0.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3.5" customHeight="1" x14ac:dyDescent="0.2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3.5" customHeight="1" x14ac:dyDescent="0.2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3.5" customHeight="1" x14ac:dyDescent="0.2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3.5" customHeight="1" x14ac:dyDescent="0.2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3.5" customHeight="1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3.5" customHeight="1" x14ac:dyDescent="0.2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3.5" customHeight="1" x14ac:dyDescent="0.2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3.5" customHeight="1" x14ac:dyDescent="0.2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3.5" customHeight="1" x14ac:dyDescent="0.2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3.5" customHeight="1" x14ac:dyDescent="0.2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3.5" customHeight="1" x14ac:dyDescent="0.2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3.5" customHeight="1" x14ac:dyDescent="0.2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3.5" customHeight="1" x14ac:dyDescent="0.2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3.5" customHeight="1" x14ac:dyDescent="0.2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3.5" customHeight="1" x14ac:dyDescent="0.2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3.5" customHeight="1" x14ac:dyDescent="0.2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3.5" customHeight="1" x14ac:dyDescent="0.2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3.5" customHeight="1" x14ac:dyDescent="0.2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3.5" customHeight="1" x14ac:dyDescent="0.2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3.5" customHeight="1" x14ac:dyDescent="0.2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3.5" customHeight="1" x14ac:dyDescent="0.2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3.5" customHeight="1" x14ac:dyDescent="0.2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3.5" customHeight="1" x14ac:dyDescent="0.2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3.5" customHeight="1" x14ac:dyDescent="0.2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3.5" customHeight="1" x14ac:dyDescent="0.2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3.5" customHeight="1" x14ac:dyDescent="0.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3.5" customHeight="1" x14ac:dyDescent="0.2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3.5" customHeight="1" x14ac:dyDescent="0.2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3.5" customHeight="1" x14ac:dyDescent="0.2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3.5" customHeight="1" x14ac:dyDescent="0.2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3.5" customHeight="1" x14ac:dyDescent="0.2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3.5" customHeight="1" x14ac:dyDescent="0.2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3.5" customHeight="1" x14ac:dyDescent="0.2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3.5" customHeight="1" x14ac:dyDescent="0.2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3.5" customHeight="1" x14ac:dyDescent="0.2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3.5" customHeight="1" x14ac:dyDescent="0.2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3.5" customHeight="1" x14ac:dyDescent="0.2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3.5" customHeight="1" x14ac:dyDescent="0.2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3.5" customHeight="1" x14ac:dyDescent="0.2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3.5" customHeight="1" x14ac:dyDescent="0.2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3.5" customHeight="1" x14ac:dyDescent="0.2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3.5" customHeight="1" x14ac:dyDescent="0.2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3.5" customHeight="1" x14ac:dyDescent="0.2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3.5" customHeight="1" x14ac:dyDescent="0.2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13.5" customHeight="1" x14ac:dyDescent="0.2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3.5" customHeight="1" x14ac:dyDescent="0.2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3.5" customHeight="1" x14ac:dyDescent="0.2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3.5" customHeight="1" x14ac:dyDescent="0.25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3.5" customHeight="1" x14ac:dyDescent="0.2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3.5" customHeight="1" x14ac:dyDescent="0.2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3.5" customHeight="1" x14ac:dyDescent="0.2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3.5" customHeight="1" x14ac:dyDescent="0.25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3.5" customHeight="1" x14ac:dyDescent="0.25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3.5" customHeight="1" x14ac:dyDescent="0.25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3.5" customHeight="1" x14ac:dyDescent="0.25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3.5" customHeight="1" x14ac:dyDescent="0.2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3.5" customHeight="1" x14ac:dyDescent="0.25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3.5" customHeight="1" x14ac:dyDescent="0.2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3.5" customHeight="1" x14ac:dyDescent="0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3.5" customHeight="1" x14ac:dyDescent="0.25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3.5" customHeight="1" x14ac:dyDescent="0.25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3.5" customHeight="1" x14ac:dyDescent="0.25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3.5" customHeight="1" x14ac:dyDescent="0.25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3.5" customHeight="1" x14ac:dyDescent="0.25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3.5" customHeight="1" x14ac:dyDescent="0.2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3.5" customHeight="1" x14ac:dyDescent="0.2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3.5" customHeight="1" x14ac:dyDescent="0.2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3.5" customHeight="1" x14ac:dyDescent="0.2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3.5" customHeight="1" x14ac:dyDescent="0.2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3.5" customHeight="1" x14ac:dyDescent="0.2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3.5" customHeight="1" x14ac:dyDescent="0.2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3.5" customHeight="1" x14ac:dyDescent="0.2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3.5" customHeight="1" x14ac:dyDescent="0.2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3.5" customHeight="1" x14ac:dyDescent="0.2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3.5" customHeight="1" x14ac:dyDescent="0.2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3.5" customHeight="1" x14ac:dyDescent="0.2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3.5" customHeight="1" x14ac:dyDescent="0.2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3.5" customHeight="1" x14ac:dyDescent="0.2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3.5" customHeight="1" x14ac:dyDescent="0.2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3.5" customHeight="1" x14ac:dyDescent="0.2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3.5" customHeight="1" x14ac:dyDescent="0.2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3.5" customHeight="1" x14ac:dyDescent="0.2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3.5" customHeight="1" x14ac:dyDescent="0.2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3.5" customHeight="1" x14ac:dyDescent="0.2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3.5" customHeight="1" x14ac:dyDescent="0.2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3.5" customHeight="1" x14ac:dyDescent="0.2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3.5" customHeight="1" x14ac:dyDescent="0.2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3.5" customHeight="1" x14ac:dyDescent="0.2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3.5" customHeight="1" x14ac:dyDescent="0.2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3.5" customHeight="1" x14ac:dyDescent="0.2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3.5" customHeight="1" x14ac:dyDescent="0.25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3.5" customHeight="1" x14ac:dyDescent="0.25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3.5" customHeight="1" x14ac:dyDescent="0.25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3.5" customHeight="1" x14ac:dyDescent="0.25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3.5" customHeight="1" x14ac:dyDescent="0.2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3.5" customHeight="1" x14ac:dyDescent="0.2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3.5" customHeight="1" x14ac:dyDescent="0.25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3.5" customHeight="1" x14ac:dyDescent="0.25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3.5" customHeight="1" x14ac:dyDescent="0.25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3.5" customHeight="1" x14ac:dyDescent="0.25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3.5" customHeight="1" x14ac:dyDescent="0.25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3.5" customHeight="1" x14ac:dyDescent="0.25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3.5" customHeight="1" x14ac:dyDescent="0.25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3.5" customHeight="1" x14ac:dyDescent="0.25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3.5" customHeight="1" x14ac:dyDescent="0.25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3.5" customHeight="1" x14ac:dyDescent="0.2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3.5" customHeight="1" x14ac:dyDescent="0.25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3.5" customHeight="1" x14ac:dyDescent="0.25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3.5" customHeight="1" x14ac:dyDescent="0.25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3.5" customHeight="1" x14ac:dyDescent="0.25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3.5" customHeight="1" x14ac:dyDescent="0.25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3.5" customHeight="1" x14ac:dyDescent="0.2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3.5" customHeight="1" x14ac:dyDescent="0.25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3.5" customHeight="1" x14ac:dyDescent="0.25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3.5" customHeight="1" x14ac:dyDescent="0.25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3.5" customHeight="1" x14ac:dyDescent="0.2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3.5" customHeight="1" x14ac:dyDescent="0.25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3.5" customHeight="1" x14ac:dyDescent="0.25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3.5" customHeight="1" x14ac:dyDescent="0.25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3.5" customHeight="1" x14ac:dyDescent="0.25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3.5" customHeight="1" x14ac:dyDescent="0.2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:D2"/>
    <mergeCell ref="A4:B4"/>
  </mergeCells>
  <pageMargins left="0.7" right="0.7" top="0.75" bottom="0.75" header="0" footer="0"/>
  <pageSetup paperSize="9" scale="8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28515625" customWidth="1"/>
    <col min="7" max="7" width="12.28515625" customWidth="1"/>
    <col min="8" max="9" width="14.28515625" customWidth="1"/>
    <col min="10" max="11" width="12.42578125" customWidth="1"/>
    <col min="12" max="12" width="13.5703125" customWidth="1"/>
    <col min="13" max="26" width="12.42578125" customWidth="1"/>
  </cols>
  <sheetData>
    <row r="1" spans="1:26" ht="15" customHeight="1" x14ac:dyDescent="0.25">
      <c r="A1" s="381" t="s">
        <v>127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" customHeight="1" x14ac:dyDescent="0.25">
      <c r="A2" s="384" t="s">
        <v>128</v>
      </c>
      <c r="B2" s="385"/>
      <c r="C2" s="385"/>
      <c r="D2" s="386"/>
      <c r="E2" s="387" t="s">
        <v>129</v>
      </c>
      <c r="F2" s="389">
        <f>'CAM-Jun`23'!C20</f>
        <v>4.4466636557588499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14722.903364217553</v>
      </c>
      <c r="G5" s="110">
        <f>C5*65%</f>
        <v>2152.15</v>
      </c>
      <c r="H5" s="111">
        <f>F5/G5</f>
        <v>6.8410210088597694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16968.468510375773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16959.575183064255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16221.429016208285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15278.736321187409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12108.265134631349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6140.842508602972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3357.2310600979317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30" x14ac:dyDescent="0.3">
      <c r="A14" s="396" t="s">
        <v>159</v>
      </c>
      <c r="B14" s="374"/>
      <c r="C14" s="374"/>
      <c r="D14" s="397"/>
      <c r="E14" s="116"/>
      <c r="F14" s="117"/>
      <c r="G14" s="112" t="s">
        <v>160</v>
      </c>
      <c r="H14" s="113" t="s">
        <v>161</v>
      </c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29903.813084978265</v>
      </c>
      <c r="G16" s="112">
        <f>C16*10</f>
        <v>67250</v>
      </c>
      <c r="H16" s="113">
        <f>C16*9.48</f>
        <v>63753</v>
      </c>
      <c r="I16" s="95">
        <f>G16-H16</f>
        <v>3497</v>
      </c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34177.056858162519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43194.890752041465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42305.558020889701</v>
      </c>
      <c r="G19" s="112"/>
      <c r="H19" s="120"/>
      <c r="I19" s="121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121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121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121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C24*F2</f>
        <v>745056.28217701835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115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109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128">
        <f>C30*F2</f>
        <v>8893.3273115176999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130">
        <f>C31*F2</f>
        <v>2610.191565930445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130">
        <f>C32*F2</f>
        <v>13562.324150064493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115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109">
        <f>C34*F2</f>
        <v>50803.132267044857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109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130">
        <f>C36*F2</f>
        <v>9587.0068418160809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130">
        <f>C37*F2</f>
        <v>9217.9337583880952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130">
        <f>C38*F2</f>
        <v>13015.384520406154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130">
        <f>C39*F2</f>
        <v>5785.1094161422634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115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109">
        <f>C41*F2</f>
        <v>38681.527141446233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115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115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9342.4403407493428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50803.132267044857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37605.434536752597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38681.527141446233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25065.843027512637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50803.132267044857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134">
        <f>C57*F2</f>
        <v>17595.448085837768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134">
        <f>C58*F2</f>
        <v>6669.9954836382749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134">
        <f>C59*F2</f>
        <v>6669.9954836382749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134">
        <f>C60*F2</f>
        <v>6669.9954836382749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15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38681.527141446233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15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15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25065.843027512637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13339.99096727655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4446.6636557588499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15229.823020974061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4446.6636557588499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8893.3273115176999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4446.6636557588499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10227.326408245355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4446.6636557588499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5127.0031950899538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5122.5565314341948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5122.5565314341948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3779.6641073950223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3779.6641073950223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38681.527141446233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11503.518877448145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13562.324150064493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13464.497549637797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11934.845252056753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13464.497549637797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11939.291915712512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37605.434536752597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38681.527141446233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9342.4403407493428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49651.446380203321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1151.6858868415422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33972.510329997611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3632.9242067549803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38681.527141446233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7114.6618492141597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4388.8570282339851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13562.324150064493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25399.342801694551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25403.78946535031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5509.4162694852148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5513.8629331409738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5509.4162694852148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5509.4162694852148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3557.3309246070799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3557.3309246070799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4891.3300213347347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3557.3309246070799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20556.926080573165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8435.3209549745388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9689.2801058985333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25065.843027512637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50803.132267044857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8613.1875012048931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28992.247035547702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38681.527141446233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6.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2182195.7423999989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scale="5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67.28515625" customWidth="1"/>
    <col min="3" max="3" width="16.42578125" customWidth="1"/>
    <col min="4" max="4" width="11.5703125" customWidth="1"/>
    <col min="5" max="24" width="9" customWidth="1"/>
  </cols>
  <sheetData>
    <row r="1" spans="1:25" ht="13.5" customHeight="1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1:25" ht="29.25" customHeight="1" x14ac:dyDescent="0.25">
      <c r="A2" s="379" t="s">
        <v>272</v>
      </c>
      <c r="B2" s="374"/>
      <c r="C2" s="374"/>
      <c r="D2" s="375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ht="29.25" customHeight="1" x14ac:dyDescent="0.25">
      <c r="A3" s="69"/>
      <c r="B3" s="70" t="s">
        <v>107</v>
      </c>
      <c r="C3" s="71" t="s">
        <v>108</v>
      </c>
      <c r="D3" s="72">
        <v>490749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25" ht="29.25" customHeight="1" x14ac:dyDescent="0.25">
      <c r="A4" s="380" t="s">
        <v>109</v>
      </c>
      <c r="B4" s="375"/>
      <c r="C4" s="73" t="s">
        <v>110</v>
      </c>
      <c r="D4" s="74">
        <f>SUM(D6:D16)</f>
        <v>3.6587736133950348</v>
      </c>
      <c r="E4" s="68"/>
      <c r="F4" s="75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5" ht="29.25" customHeight="1" x14ac:dyDescent="0.25">
      <c r="A5" s="76" t="s">
        <v>33</v>
      </c>
      <c r="B5" s="77" t="s">
        <v>34</v>
      </c>
      <c r="C5" s="78" t="s">
        <v>111</v>
      </c>
      <c r="D5" s="79" t="s">
        <v>112</v>
      </c>
      <c r="E5" s="68"/>
      <c r="F5" s="75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25" ht="29.25" customHeight="1" x14ac:dyDescent="0.25">
      <c r="A6" s="81">
        <v>1</v>
      </c>
      <c r="B6" s="81" t="s">
        <v>113</v>
      </c>
      <c r="C6" s="82">
        <v>148967</v>
      </c>
      <c r="D6" s="83">
        <f>C6/D3</f>
        <v>0.30355028741780421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</row>
    <row r="7" spans="1:25" ht="29.25" customHeight="1" x14ac:dyDescent="0.25">
      <c r="A7" s="81">
        <v>2</v>
      </c>
      <c r="B7" s="161" t="s">
        <v>114</v>
      </c>
      <c r="C7" s="82">
        <v>319159.81</v>
      </c>
      <c r="D7" s="83">
        <f>C7/D3</f>
        <v>0.65035244086080668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</row>
    <row r="8" spans="1:25" ht="29.25" customHeight="1" x14ac:dyDescent="0.25">
      <c r="A8" s="81">
        <v>3</v>
      </c>
      <c r="B8" s="161" t="s">
        <v>115</v>
      </c>
      <c r="C8" s="82">
        <v>202650</v>
      </c>
      <c r="D8" s="83">
        <f>C8/D3</f>
        <v>0.41294021994950575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</row>
    <row r="9" spans="1:25" ht="29.25" customHeight="1" x14ac:dyDescent="0.25">
      <c r="A9" s="81">
        <v>4</v>
      </c>
      <c r="B9" s="161" t="s">
        <v>116</v>
      </c>
      <c r="C9" s="82">
        <v>581771.07999999996</v>
      </c>
      <c r="D9" s="83">
        <f>C9/D3</f>
        <v>1.1854758338784184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 spans="1:25" ht="29.25" customHeight="1" x14ac:dyDescent="0.25">
      <c r="A10" s="81">
        <v>5</v>
      </c>
      <c r="B10" s="161" t="s">
        <v>117</v>
      </c>
      <c r="C10" s="82">
        <v>5000</v>
      </c>
      <c r="D10" s="83">
        <f>C10/D3</f>
        <v>1.0188507770774877E-2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</row>
    <row r="11" spans="1:25" ht="29.25" customHeight="1" x14ac:dyDescent="0.25">
      <c r="A11" s="81">
        <v>6</v>
      </c>
      <c r="B11" s="161" t="s">
        <v>118</v>
      </c>
      <c r="C11" s="82">
        <v>0</v>
      </c>
      <c r="D11" s="83">
        <f>C11/D3</f>
        <v>0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</row>
    <row r="12" spans="1:25" ht="29.25" customHeight="1" x14ac:dyDescent="0.25">
      <c r="A12" s="81">
        <v>7</v>
      </c>
      <c r="B12" s="81" t="s">
        <v>119</v>
      </c>
      <c r="C12" s="82">
        <v>178245.60200000001</v>
      </c>
      <c r="D12" s="83">
        <f>C12/D3</f>
        <v>0.36321134021668922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</row>
    <row r="13" spans="1:25" ht="29.25" customHeight="1" x14ac:dyDescent="0.25">
      <c r="A13" s="81">
        <v>8</v>
      </c>
      <c r="B13" s="81" t="s">
        <v>120</v>
      </c>
      <c r="C13" s="82">
        <v>17600</v>
      </c>
      <c r="D13" s="83">
        <f>C13/D3</f>
        <v>3.5863547353127564E-2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</row>
    <row r="14" spans="1:25" ht="29.25" customHeight="1" x14ac:dyDescent="0.25">
      <c r="A14" s="81">
        <v>9</v>
      </c>
      <c r="B14" s="81" t="s">
        <v>273</v>
      </c>
      <c r="C14" s="82">
        <f>2000*10</f>
        <v>20000</v>
      </c>
      <c r="D14" s="83">
        <f>C14/D3</f>
        <v>4.075403108309951E-2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</row>
    <row r="15" spans="1:25" ht="29.25" customHeight="1" x14ac:dyDescent="0.25">
      <c r="A15" s="81">
        <v>10</v>
      </c>
      <c r="B15" s="81" t="s">
        <v>122</v>
      </c>
      <c r="C15" s="82">
        <v>297146</v>
      </c>
      <c r="D15" s="83">
        <f>C15/D3</f>
        <v>0.60549486601093427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</row>
    <row r="16" spans="1:25" ht="29.25" customHeight="1" x14ac:dyDescent="0.25">
      <c r="A16" s="81">
        <v>11</v>
      </c>
      <c r="B16" s="161" t="s">
        <v>274</v>
      </c>
      <c r="C16" s="82">
        <v>25000</v>
      </c>
      <c r="D16" s="83">
        <f>C16/D3</f>
        <v>5.0942538853874383E-2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</row>
    <row r="17" spans="1:25" ht="29.25" customHeight="1" x14ac:dyDescent="0.25">
      <c r="A17" s="81" t="s">
        <v>124</v>
      </c>
      <c r="B17" s="84" t="s">
        <v>51</v>
      </c>
      <c r="C17" s="82">
        <f>SUM(C6:C16)</f>
        <v>1795539.4920000001</v>
      </c>
      <c r="D17" s="81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</row>
    <row r="18" spans="1:25" ht="29.25" customHeight="1" x14ac:dyDescent="0.25">
      <c r="A18" s="69">
        <v>12</v>
      </c>
      <c r="B18" s="69" t="s">
        <v>125</v>
      </c>
      <c r="C18" s="85">
        <f>C17*2%</f>
        <v>35910.789840000005</v>
      </c>
      <c r="D18" s="86">
        <f>C18/D3</f>
        <v>7.3175472267900707E-2</v>
      </c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</row>
    <row r="19" spans="1:25" ht="29.25" customHeight="1" x14ac:dyDescent="0.25">
      <c r="A19" s="69">
        <v>13</v>
      </c>
      <c r="B19" s="69" t="s">
        <v>53</v>
      </c>
      <c r="C19" s="85">
        <v>490749</v>
      </c>
      <c r="D19" s="86">
        <f>C19/D3</f>
        <v>1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</row>
    <row r="20" spans="1:25" ht="29.25" customHeight="1" x14ac:dyDescent="0.25">
      <c r="A20" s="87" t="s">
        <v>126</v>
      </c>
      <c r="B20" s="87" t="s">
        <v>55</v>
      </c>
      <c r="C20" s="88">
        <f>(C18+C19+C17)/D3</f>
        <v>4.7319490856629365</v>
      </c>
      <c r="D20" s="89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</row>
    <row r="21" spans="1:25" ht="13.5" customHeight="1" x14ac:dyDescent="0.25">
      <c r="A21" s="90"/>
      <c r="B21" s="91"/>
      <c r="C21" s="91"/>
      <c r="D21" s="92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</row>
    <row r="22" spans="1:25" ht="13.5" customHeight="1" x14ac:dyDescent="0.2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1:25" ht="13.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</row>
    <row r="24" spans="1:25" ht="13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1:25" ht="13.5" customHeight="1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</row>
    <row r="26" spans="1:25" ht="13.5" customHeight="1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1:25" ht="13.5" customHeight="1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</row>
    <row r="28" spans="1:25" ht="13.5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</row>
    <row r="29" spans="1:25" ht="13.5" customHeight="1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13.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 spans="1:25" ht="13.5" customHeight="1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</row>
    <row r="32" spans="1:25" ht="13.5" customHeight="1" x14ac:dyDescent="0.2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 spans="1:25" ht="13.5" customHeight="1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</row>
    <row r="34" spans="1:25" ht="13.5" customHeight="1" x14ac:dyDescent="0.2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13.5" customHeight="1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13.5" customHeight="1" x14ac:dyDescent="0.25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spans="1:25" ht="13.5" customHeight="1" x14ac:dyDescent="0.25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spans="1:25" ht="13.5" customHeight="1" x14ac:dyDescent="0.25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 spans="1:25" ht="13.5" customHeight="1" x14ac:dyDescent="0.25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spans="1:25" ht="13.5" customHeight="1" x14ac:dyDescent="0.25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spans="1:25" ht="13.5" customHeight="1" x14ac:dyDescent="0.25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</row>
    <row r="42" spans="1:25" ht="13.5" customHeight="1" x14ac:dyDescent="0.2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 spans="1:25" ht="13.5" customHeight="1" x14ac:dyDescent="0.2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</row>
    <row r="44" spans="1:25" ht="13.5" customHeight="1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</row>
    <row r="45" spans="1:25" ht="13.5" customHeight="1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</row>
    <row r="46" spans="1:25" ht="13.5" customHeight="1" x14ac:dyDescent="0.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</row>
    <row r="47" spans="1:25" ht="13.5" customHeight="1" x14ac:dyDescent="0.2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 spans="1:25" ht="13.5" customHeight="1" x14ac:dyDescent="0.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</row>
    <row r="49" spans="1:25" ht="13.5" customHeight="1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</row>
    <row r="50" spans="1:25" ht="13.5" customHeight="1" x14ac:dyDescent="0.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 spans="1:25" ht="13.5" customHeight="1" x14ac:dyDescent="0.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 spans="1:25" ht="13.5" customHeight="1" x14ac:dyDescent="0.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 spans="1:25" ht="13.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 spans="1:25" ht="13.5" customHeight="1" x14ac:dyDescent="0.2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 spans="1:25" ht="13.5" customHeight="1" x14ac:dyDescent="0.2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</row>
    <row r="56" spans="1:25" ht="13.5" customHeight="1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</row>
    <row r="57" spans="1:25" ht="13.5" customHeight="1" x14ac:dyDescent="0.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</row>
    <row r="58" spans="1:25" ht="13.5" customHeight="1" x14ac:dyDescent="0.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</row>
    <row r="59" spans="1:25" ht="13.5" customHeight="1" x14ac:dyDescent="0.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</row>
    <row r="60" spans="1:25" ht="13.5" customHeight="1" x14ac:dyDescent="0.2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</row>
    <row r="61" spans="1:25" ht="13.5" customHeight="1" x14ac:dyDescent="0.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</row>
    <row r="62" spans="1:25" ht="13.5" customHeight="1" x14ac:dyDescent="0.2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</row>
    <row r="63" spans="1:25" ht="13.5" customHeight="1" x14ac:dyDescent="0.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</row>
    <row r="64" spans="1:25" ht="13.5" customHeight="1" x14ac:dyDescent="0.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</row>
    <row r="65" spans="1:25" ht="13.5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</row>
    <row r="66" spans="1:25" ht="13.5" customHeight="1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</row>
    <row r="67" spans="1:25" ht="13.5" customHeight="1" x14ac:dyDescent="0.2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</row>
    <row r="68" spans="1:25" ht="13.5" customHeight="1" x14ac:dyDescent="0.2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</row>
    <row r="69" spans="1:25" ht="13.5" customHeight="1" x14ac:dyDescent="0.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</row>
    <row r="70" spans="1:25" ht="13.5" customHeight="1" x14ac:dyDescent="0.2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</row>
    <row r="71" spans="1:25" ht="13.5" customHeight="1" x14ac:dyDescent="0.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</row>
    <row r="72" spans="1:25" ht="13.5" customHeight="1" x14ac:dyDescent="0.2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</row>
    <row r="73" spans="1:25" ht="13.5" customHeight="1" x14ac:dyDescent="0.2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</row>
    <row r="74" spans="1:25" ht="13.5" customHeight="1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</row>
    <row r="75" spans="1:25" ht="13.5" customHeight="1" x14ac:dyDescent="0.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</row>
    <row r="76" spans="1:25" ht="13.5" customHeight="1" x14ac:dyDescent="0.2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</row>
    <row r="77" spans="1:25" ht="13.5" customHeight="1" x14ac:dyDescent="0.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</row>
    <row r="78" spans="1:25" ht="13.5" customHeight="1" x14ac:dyDescent="0.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</row>
    <row r="79" spans="1:25" ht="13.5" customHeight="1" x14ac:dyDescent="0.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</row>
    <row r="80" spans="1:25" ht="13.5" customHeight="1" x14ac:dyDescent="0.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</row>
    <row r="81" spans="1:25" ht="13.5" customHeight="1" x14ac:dyDescent="0.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</row>
    <row r="82" spans="1:25" ht="13.5" customHeight="1" x14ac:dyDescent="0.2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</row>
    <row r="83" spans="1:25" ht="13.5" customHeight="1" x14ac:dyDescent="0.2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</row>
    <row r="84" spans="1:25" ht="13.5" customHeight="1" x14ac:dyDescent="0.2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</row>
    <row r="85" spans="1:25" ht="13.5" customHeight="1" x14ac:dyDescent="0.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</row>
    <row r="86" spans="1:25" ht="13.5" customHeight="1" x14ac:dyDescent="0.2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</row>
    <row r="87" spans="1:25" ht="13.5" customHeight="1" x14ac:dyDescent="0.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</row>
    <row r="88" spans="1:25" ht="13.5" customHeight="1" x14ac:dyDescent="0.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</row>
    <row r="89" spans="1:25" ht="13.5" customHeight="1" x14ac:dyDescent="0.2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</row>
    <row r="90" spans="1:25" ht="13.5" customHeight="1" x14ac:dyDescent="0.2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</row>
    <row r="91" spans="1:25" ht="13.5" customHeight="1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</row>
    <row r="92" spans="1:25" ht="13.5" customHeight="1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</row>
    <row r="93" spans="1:25" ht="13.5" customHeight="1" x14ac:dyDescent="0.2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</row>
    <row r="94" spans="1:25" ht="13.5" customHeight="1" x14ac:dyDescent="0.2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 spans="1:25" ht="13.5" customHeight="1" x14ac:dyDescent="0.2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 spans="1:25" ht="13.5" customHeight="1" x14ac:dyDescent="0.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</row>
    <row r="97" spans="1:25" ht="13.5" customHeight="1" x14ac:dyDescent="0.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</row>
    <row r="98" spans="1:25" ht="13.5" customHeight="1" x14ac:dyDescent="0.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</row>
    <row r="99" spans="1:25" ht="13.5" customHeight="1" x14ac:dyDescent="0.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</row>
    <row r="100" spans="1:25" ht="13.5" customHeight="1" x14ac:dyDescent="0.2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</row>
    <row r="101" spans="1:25" ht="13.5" customHeight="1" x14ac:dyDescent="0.2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</row>
    <row r="102" spans="1:25" ht="13.5" customHeight="1" x14ac:dyDescent="0.2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</row>
    <row r="103" spans="1:25" ht="13.5" customHeight="1" x14ac:dyDescent="0.2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</row>
    <row r="104" spans="1:25" ht="13.5" customHeight="1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</row>
    <row r="105" spans="1:25" ht="13.5" customHeight="1" x14ac:dyDescent="0.2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</row>
    <row r="106" spans="1:25" ht="13.5" customHeight="1" x14ac:dyDescent="0.2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</row>
    <row r="107" spans="1:25" ht="13.5" customHeight="1" x14ac:dyDescent="0.2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</row>
    <row r="108" spans="1:25" ht="13.5" customHeight="1" x14ac:dyDescent="0.2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</row>
    <row r="109" spans="1:25" ht="13.5" customHeight="1" x14ac:dyDescent="0.2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 spans="1:25" ht="13.5" customHeight="1" x14ac:dyDescent="0.2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</row>
    <row r="111" spans="1:25" ht="13.5" customHeight="1" x14ac:dyDescent="0.2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</row>
    <row r="112" spans="1:25" ht="13.5" customHeight="1" x14ac:dyDescent="0.2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</row>
    <row r="113" spans="1:25" ht="13.5" customHeight="1" x14ac:dyDescent="0.2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</row>
    <row r="114" spans="1:25" ht="13.5" customHeight="1" x14ac:dyDescent="0.2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</row>
    <row r="115" spans="1:25" ht="13.5" customHeight="1" x14ac:dyDescent="0.2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</row>
    <row r="116" spans="1:25" ht="13.5" customHeight="1" x14ac:dyDescent="0.2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</row>
    <row r="117" spans="1:25" ht="13.5" customHeight="1" x14ac:dyDescent="0.2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</row>
    <row r="118" spans="1:25" ht="13.5" customHeight="1" x14ac:dyDescent="0.2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</row>
    <row r="119" spans="1:25" ht="13.5" customHeight="1" x14ac:dyDescent="0.2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</row>
    <row r="120" spans="1:25" ht="13.5" customHeight="1" x14ac:dyDescent="0.2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</row>
    <row r="121" spans="1:25" ht="13.5" customHeight="1" x14ac:dyDescent="0.2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</row>
    <row r="122" spans="1:25" ht="13.5" customHeight="1" x14ac:dyDescent="0.2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</row>
    <row r="123" spans="1:25" ht="13.5" customHeight="1" x14ac:dyDescent="0.2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</row>
    <row r="124" spans="1:25" ht="13.5" customHeight="1" x14ac:dyDescent="0.2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</row>
    <row r="125" spans="1:25" ht="13.5" customHeight="1" x14ac:dyDescent="0.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</row>
    <row r="126" spans="1:25" ht="13.5" customHeight="1" x14ac:dyDescent="0.2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</row>
    <row r="127" spans="1:25" ht="13.5" customHeight="1" x14ac:dyDescent="0.2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</row>
    <row r="128" spans="1:25" ht="13.5" customHeight="1" x14ac:dyDescent="0.2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</row>
    <row r="129" spans="1:25" ht="13.5" customHeight="1" x14ac:dyDescent="0.2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</row>
    <row r="130" spans="1:25" ht="13.5" customHeight="1" x14ac:dyDescent="0.2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</row>
    <row r="131" spans="1:25" ht="13.5" customHeight="1" x14ac:dyDescent="0.2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</row>
    <row r="132" spans="1:25" ht="13.5" customHeight="1" x14ac:dyDescent="0.2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</row>
    <row r="133" spans="1:25" ht="13.5" customHeight="1" x14ac:dyDescent="0.2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</row>
    <row r="134" spans="1:25" ht="13.5" customHeight="1" x14ac:dyDescent="0.2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</row>
    <row r="135" spans="1:25" ht="13.5" customHeight="1" x14ac:dyDescent="0.2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</row>
    <row r="136" spans="1:25" ht="13.5" customHeight="1" x14ac:dyDescent="0.2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</row>
    <row r="137" spans="1:25" ht="13.5" customHeight="1" x14ac:dyDescent="0.2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</row>
    <row r="138" spans="1:25" ht="13.5" customHeight="1" x14ac:dyDescent="0.2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</row>
    <row r="139" spans="1:25" ht="13.5" customHeight="1" x14ac:dyDescent="0.2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</row>
    <row r="140" spans="1:25" ht="13.5" customHeight="1" x14ac:dyDescent="0.2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</row>
    <row r="141" spans="1:25" ht="13.5" customHeight="1" x14ac:dyDescent="0.2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</row>
    <row r="142" spans="1:25" ht="13.5" customHeight="1" x14ac:dyDescent="0.2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</row>
    <row r="143" spans="1:25" ht="13.5" customHeight="1" x14ac:dyDescent="0.2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</row>
    <row r="144" spans="1:25" ht="13.5" customHeight="1" x14ac:dyDescent="0.2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</row>
    <row r="145" spans="1:25" ht="13.5" customHeight="1" x14ac:dyDescent="0.2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</row>
    <row r="146" spans="1:25" ht="13.5" customHeight="1" x14ac:dyDescent="0.2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</row>
    <row r="147" spans="1:25" ht="13.5" customHeight="1" x14ac:dyDescent="0.25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</row>
    <row r="148" spans="1:25" ht="13.5" customHeight="1" x14ac:dyDescent="0.2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</row>
    <row r="149" spans="1:25" ht="13.5" customHeight="1" x14ac:dyDescent="0.2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</row>
    <row r="150" spans="1:25" ht="13.5" customHeight="1" x14ac:dyDescent="0.2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</row>
    <row r="151" spans="1:25" ht="13.5" customHeight="1" x14ac:dyDescent="0.25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</row>
    <row r="152" spans="1:25" ht="13.5" customHeight="1" x14ac:dyDescent="0.25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</row>
    <row r="153" spans="1:25" ht="13.5" customHeight="1" x14ac:dyDescent="0.25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</row>
    <row r="154" spans="1:25" ht="13.5" customHeight="1" x14ac:dyDescent="0.25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</row>
    <row r="155" spans="1:25" ht="13.5" customHeight="1" x14ac:dyDescent="0.2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</row>
    <row r="156" spans="1:25" ht="13.5" customHeight="1" x14ac:dyDescent="0.25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</row>
    <row r="157" spans="1:25" ht="13.5" customHeight="1" x14ac:dyDescent="0.2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</row>
    <row r="158" spans="1:25" ht="13.5" customHeight="1" x14ac:dyDescent="0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</row>
    <row r="159" spans="1:25" ht="13.5" customHeight="1" x14ac:dyDescent="0.25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</row>
    <row r="160" spans="1:25" ht="13.5" customHeight="1" x14ac:dyDescent="0.25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</row>
    <row r="161" spans="1:25" ht="13.5" customHeight="1" x14ac:dyDescent="0.25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</row>
    <row r="162" spans="1:25" ht="13.5" customHeight="1" x14ac:dyDescent="0.25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</row>
    <row r="163" spans="1:25" ht="13.5" customHeight="1" x14ac:dyDescent="0.25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</row>
    <row r="164" spans="1:25" ht="13.5" customHeight="1" x14ac:dyDescent="0.2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</row>
    <row r="165" spans="1:25" ht="13.5" customHeight="1" x14ac:dyDescent="0.2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</row>
    <row r="166" spans="1:25" ht="13.5" customHeight="1" x14ac:dyDescent="0.2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</row>
    <row r="167" spans="1:25" ht="13.5" customHeight="1" x14ac:dyDescent="0.2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</row>
    <row r="168" spans="1:25" ht="13.5" customHeight="1" x14ac:dyDescent="0.2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</row>
    <row r="169" spans="1:25" ht="13.5" customHeight="1" x14ac:dyDescent="0.2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</row>
    <row r="170" spans="1:25" ht="13.5" customHeight="1" x14ac:dyDescent="0.2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</row>
    <row r="171" spans="1:25" ht="13.5" customHeight="1" x14ac:dyDescent="0.2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</row>
    <row r="172" spans="1:25" ht="13.5" customHeight="1" x14ac:dyDescent="0.2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</row>
    <row r="173" spans="1:25" ht="13.5" customHeight="1" x14ac:dyDescent="0.2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</row>
    <row r="174" spans="1:25" ht="13.5" customHeight="1" x14ac:dyDescent="0.2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</row>
    <row r="175" spans="1:25" ht="13.5" customHeight="1" x14ac:dyDescent="0.2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</row>
    <row r="176" spans="1:25" ht="13.5" customHeight="1" x14ac:dyDescent="0.2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</row>
    <row r="177" spans="1:25" ht="13.5" customHeight="1" x14ac:dyDescent="0.2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</row>
    <row r="178" spans="1:25" ht="13.5" customHeight="1" x14ac:dyDescent="0.2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</row>
    <row r="179" spans="1:25" ht="13.5" customHeight="1" x14ac:dyDescent="0.2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</row>
    <row r="180" spans="1:25" ht="13.5" customHeight="1" x14ac:dyDescent="0.2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</row>
    <row r="181" spans="1:25" ht="13.5" customHeight="1" x14ac:dyDescent="0.2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</row>
    <row r="182" spans="1:25" ht="13.5" customHeight="1" x14ac:dyDescent="0.2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</row>
    <row r="183" spans="1:25" ht="13.5" customHeight="1" x14ac:dyDescent="0.2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</row>
    <row r="184" spans="1:25" ht="13.5" customHeight="1" x14ac:dyDescent="0.2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</row>
    <row r="185" spans="1:25" ht="13.5" customHeight="1" x14ac:dyDescent="0.2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</row>
    <row r="186" spans="1:25" ht="13.5" customHeight="1" x14ac:dyDescent="0.2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</row>
    <row r="187" spans="1:25" ht="13.5" customHeight="1" x14ac:dyDescent="0.2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</row>
    <row r="188" spans="1:25" ht="13.5" customHeight="1" x14ac:dyDescent="0.2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</row>
    <row r="189" spans="1:25" ht="13.5" customHeight="1" x14ac:dyDescent="0.2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</row>
    <row r="190" spans="1:25" ht="13.5" customHeight="1" x14ac:dyDescent="0.25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</row>
    <row r="191" spans="1:25" ht="13.5" customHeight="1" x14ac:dyDescent="0.25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</row>
    <row r="192" spans="1:25" ht="13.5" customHeight="1" x14ac:dyDescent="0.25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</row>
    <row r="193" spans="1:25" ht="13.5" customHeight="1" x14ac:dyDescent="0.25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</row>
    <row r="194" spans="1:25" ht="13.5" customHeight="1" x14ac:dyDescent="0.2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</row>
    <row r="195" spans="1:25" ht="13.5" customHeight="1" x14ac:dyDescent="0.2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</row>
    <row r="196" spans="1:25" ht="13.5" customHeight="1" x14ac:dyDescent="0.25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</row>
    <row r="197" spans="1:25" ht="13.5" customHeight="1" x14ac:dyDescent="0.25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</row>
    <row r="198" spans="1:25" ht="13.5" customHeight="1" x14ac:dyDescent="0.25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</row>
    <row r="199" spans="1:25" ht="13.5" customHeight="1" x14ac:dyDescent="0.25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</row>
    <row r="200" spans="1:25" ht="13.5" customHeight="1" x14ac:dyDescent="0.25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</row>
    <row r="201" spans="1:25" ht="13.5" customHeight="1" x14ac:dyDescent="0.25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</row>
    <row r="202" spans="1:25" ht="13.5" customHeight="1" x14ac:dyDescent="0.25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</row>
    <row r="203" spans="1:25" ht="13.5" customHeight="1" x14ac:dyDescent="0.25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</row>
    <row r="204" spans="1:25" ht="13.5" customHeight="1" x14ac:dyDescent="0.25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</row>
    <row r="205" spans="1:25" ht="13.5" customHeight="1" x14ac:dyDescent="0.2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</row>
    <row r="206" spans="1:25" ht="13.5" customHeight="1" x14ac:dyDescent="0.25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</row>
    <row r="207" spans="1:25" ht="13.5" customHeight="1" x14ac:dyDescent="0.25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</row>
    <row r="208" spans="1:25" ht="13.5" customHeight="1" x14ac:dyDescent="0.25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</row>
    <row r="209" spans="1:25" ht="13.5" customHeight="1" x14ac:dyDescent="0.25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</row>
    <row r="210" spans="1:25" ht="13.5" customHeight="1" x14ac:dyDescent="0.25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</row>
    <row r="211" spans="1:25" ht="13.5" customHeight="1" x14ac:dyDescent="0.2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</row>
    <row r="212" spans="1:25" ht="13.5" customHeight="1" x14ac:dyDescent="0.25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</row>
    <row r="213" spans="1:25" ht="13.5" customHeight="1" x14ac:dyDescent="0.25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</row>
    <row r="214" spans="1:25" ht="13.5" customHeight="1" x14ac:dyDescent="0.25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</row>
    <row r="215" spans="1:25" ht="13.5" customHeight="1" x14ac:dyDescent="0.2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</row>
    <row r="216" spans="1:25" ht="13.5" customHeight="1" x14ac:dyDescent="0.25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</row>
    <row r="217" spans="1:25" ht="13.5" customHeight="1" x14ac:dyDescent="0.25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</row>
    <row r="218" spans="1:25" ht="13.5" customHeight="1" x14ac:dyDescent="0.25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</row>
    <row r="219" spans="1:25" ht="13.5" customHeight="1" x14ac:dyDescent="0.25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</row>
    <row r="220" spans="1:25" ht="13.5" customHeight="1" x14ac:dyDescent="0.2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</row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:D2"/>
    <mergeCell ref="A4:B4"/>
  </mergeCells>
  <hyperlinks>
    <hyperlink ref="B7" location="null!A1" display="Technical manpower" xr:uid="{00000000-0004-0000-0500-000000000000}"/>
    <hyperlink ref="B8" location="null!A1" display="HK Manpower" xr:uid="{00000000-0004-0000-0500-000001000000}"/>
    <hyperlink ref="B9" location="null!A1" display="LP Manpower -Security Services " xr:uid="{00000000-0004-0000-0500-000002000000}"/>
    <hyperlink ref="B10" location="null!A1" display="AMC" xr:uid="{00000000-0004-0000-0500-000003000000}"/>
    <hyperlink ref="B11" location="null!A1" display="Consumables" xr:uid="{00000000-0004-0000-0500-000004000000}"/>
    <hyperlink ref="B16" location="null!A1" display="Liosaning &amp; Licenses" xr:uid="{00000000-0004-0000-0500-000005000000}"/>
  </hyperlinks>
  <pageMargins left="0.7" right="0.7" top="0.75" bottom="0.75" header="0" footer="0"/>
  <pageSetup paperSize="9" scale="8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28515625" customWidth="1"/>
    <col min="7" max="7" width="12.28515625" customWidth="1"/>
    <col min="8" max="9" width="14.28515625" customWidth="1"/>
    <col min="10" max="26" width="12.42578125" customWidth="1"/>
  </cols>
  <sheetData>
    <row r="1" spans="1:26" ht="13.5" customHeight="1" x14ac:dyDescent="0.25">
      <c r="A1" s="381" t="s">
        <v>275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2.75" customHeight="1" x14ac:dyDescent="0.25">
      <c r="A2" s="384" t="s">
        <v>128</v>
      </c>
      <c r="B2" s="385"/>
      <c r="C2" s="385"/>
      <c r="D2" s="386"/>
      <c r="E2" s="387" t="s">
        <v>129</v>
      </c>
      <c r="F2" s="389">
        <f>'CAM-Jul`23'!C20</f>
        <v>4.7319490856629365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3.5" customHeight="1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5" customHeight="1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" customHeight="1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15667.483422629983</v>
      </c>
      <c r="G5" s="110">
        <f>C5*65%</f>
        <v>2152.15</v>
      </c>
      <c r="H5" s="111">
        <f>F5/G5</f>
        <v>7.2799216702506708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18057.117710889765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18047.653812718439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17262.150264498392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16258.97705833785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12885.097360260175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6534.8216873005149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3572.6215596755169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2.75" customHeight="1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31822.357601083248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36369.760672405333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45966.153418129768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45019.763600997176</v>
      </c>
      <c r="G19" s="112"/>
      <c r="H19" s="120"/>
      <c r="I19" s="121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2.75" customHeight="1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121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121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121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C24*F2</f>
        <v>792856.99709916767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2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2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115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109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128">
        <f>C30*F2</f>
        <v>9463.8981713258727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130">
        <f>C31*F2</f>
        <v>2777.6541132841439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130">
        <f>C32*F2</f>
        <v>14432.444711271955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115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2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109">
        <f>C34*F2</f>
        <v>54062.518303699049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109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130">
        <f>C36*F2</f>
        <v>10202.082228689291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130">
        <f>C37*F2</f>
        <v>9809.3304545792671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130">
        <f>C38*F2</f>
        <v>13850.414973735415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130">
        <f>C39*F2</f>
        <v>6156.2657604474807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115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109">
        <f>C41*F2</f>
        <v>41163.225096181886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2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115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115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2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9941.8250289778298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54062.518303699049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40018.093417451455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41163.225096181886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2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2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26673.996995881975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54062.518303699049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2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134">
        <f>C57*F2</f>
        <v>18724.322531968239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134">
        <f>C58*F2</f>
        <v>7097.9236284944045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2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134">
        <f>C59*F2</f>
        <v>7097.9236284944045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134">
        <f>C60*F2</f>
        <v>7097.9236284944045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15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41163.225096181886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2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15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" customHeight="1" x14ac:dyDescent="0.3">
      <c r="A64" s="104"/>
      <c r="B64" s="114"/>
      <c r="C64" s="106"/>
      <c r="D64" s="107"/>
      <c r="E64" s="108"/>
      <c r="F64" s="115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2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2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26673.996995881975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14195.847256988809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4731.9490856629363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16206.925618395557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4731.9490856629363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9463.8981713258727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4731.9490856629363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10883.482897024754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2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4731.9490856629363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5455.9372957693658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2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5451.2053466837024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5451.2053466837024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4022.1567228134959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4022.1567228134959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41163.225096181886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2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2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12241.552284610018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14432.444711271955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2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2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14328.341831387372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12700.551345919321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14328.341831387372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12705.283295004985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40018.093417451455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41163.225096181886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2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9941.8250289778298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52836.943490512349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2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1225.5748131867006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2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36152.091014464837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3866.002402986619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41163.225096181886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2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2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7571.1185370606981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4670.4337475493185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2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14432.444711271955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2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27028.893177306694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27033.625126392355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5862.8849171363781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5867.6168662220416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5862.8849171363781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5862.8849171363781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3785.5592685303491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3785.5592685303491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5205.14399422923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3785.5592685303491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2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21875.800623019757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2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8976.5074155025904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10310.917057659539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2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26673.996995881975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54062.518303699049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3.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9165.7853789291075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30852.308038522347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41163.225096181886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3.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2322199.2818400017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4.2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scale="5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67.28515625" customWidth="1"/>
    <col min="3" max="3" width="16.42578125" customWidth="1"/>
    <col min="4" max="4" width="11.5703125" customWidth="1"/>
    <col min="5" max="5" width="24.42578125" customWidth="1"/>
    <col min="6" max="24" width="9" customWidth="1"/>
  </cols>
  <sheetData>
    <row r="1" spans="1:26" ht="13.5" customHeight="1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28.5" customHeight="1" x14ac:dyDescent="0.25">
      <c r="A2" s="379" t="s">
        <v>276</v>
      </c>
      <c r="B2" s="374"/>
      <c r="C2" s="374"/>
      <c r="D2" s="375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28.5" customHeight="1" x14ac:dyDescent="0.25">
      <c r="A3" s="69"/>
      <c r="B3" s="70" t="s">
        <v>107</v>
      </c>
      <c r="C3" s="71" t="s">
        <v>108</v>
      </c>
      <c r="D3" s="72">
        <v>490749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28.5" customHeight="1" x14ac:dyDescent="0.25">
      <c r="A4" s="380" t="s">
        <v>109</v>
      </c>
      <c r="B4" s="375"/>
      <c r="C4" s="73" t="s">
        <v>110</v>
      </c>
      <c r="D4" s="74">
        <f>SUM(D6:D16)</f>
        <v>3.896583120902946</v>
      </c>
      <c r="E4" s="68"/>
      <c r="F4" s="68"/>
      <c r="G4" s="75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28.5" customHeight="1" x14ac:dyDescent="0.25">
      <c r="A5" s="76" t="s">
        <v>33</v>
      </c>
      <c r="B5" s="77" t="s">
        <v>34</v>
      </c>
      <c r="C5" s="78" t="s">
        <v>111</v>
      </c>
      <c r="D5" s="79" t="s">
        <v>112</v>
      </c>
      <c r="E5" s="80"/>
      <c r="F5" s="68"/>
      <c r="G5" s="75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28.5" customHeight="1" x14ac:dyDescent="0.25">
      <c r="A6" s="81">
        <v>1</v>
      </c>
      <c r="B6" s="81" t="s">
        <v>113</v>
      </c>
      <c r="C6" s="82">
        <v>140000</v>
      </c>
      <c r="D6" s="83">
        <f>C6/D3</f>
        <v>0.28527821758169652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28.5" customHeight="1" x14ac:dyDescent="0.25">
      <c r="A7" s="81">
        <v>2</v>
      </c>
      <c r="B7" s="161" t="s">
        <v>114</v>
      </c>
      <c r="C7" s="82">
        <v>336939.16</v>
      </c>
      <c r="D7" s="83">
        <f>C7/D3</f>
        <v>0.6865814499876719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28.5" customHeight="1" x14ac:dyDescent="0.25">
      <c r="A8" s="81">
        <v>3</v>
      </c>
      <c r="B8" s="161" t="s">
        <v>115</v>
      </c>
      <c r="C8" s="82">
        <v>232689</v>
      </c>
      <c r="D8" s="83">
        <f>C8/D3</f>
        <v>0.47415073693476706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28.5" customHeight="1" x14ac:dyDescent="0.25">
      <c r="A9" s="81">
        <v>4</v>
      </c>
      <c r="B9" s="161" t="s">
        <v>116</v>
      </c>
      <c r="C9" s="82">
        <v>605821.07999999996</v>
      </c>
      <c r="D9" s="83">
        <f>C9/D3</f>
        <v>1.2344825562558455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28.5" customHeight="1" x14ac:dyDescent="0.25">
      <c r="A10" s="81">
        <v>5</v>
      </c>
      <c r="B10" s="161" t="s">
        <v>117</v>
      </c>
      <c r="C10" s="82">
        <f>45000+5000</f>
        <v>50000</v>
      </c>
      <c r="D10" s="83">
        <f>C10/D3</f>
        <v>0.10188507770774877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28.5" customHeight="1" x14ac:dyDescent="0.25">
      <c r="A11" s="81">
        <v>6</v>
      </c>
      <c r="B11" s="161" t="s">
        <v>118</v>
      </c>
      <c r="C11" s="82">
        <v>10917</v>
      </c>
      <c r="D11" s="83">
        <f>C11/D3</f>
        <v>2.2245587866709864E-2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28.5" customHeight="1" x14ac:dyDescent="0.25">
      <c r="A12" s="81">
        <v>7</v>
      </c>
      <c r="B12" s="81" t="s">
        <v>119</v>
      </c>
      <c r="C12" s="82">
        <v>168132.03</v>
      </c>
      <c r="D12" s="83">
        <f>C12/D3</f>
        <v>0.34260289883423095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28.5" customHeight="1" x14ac:dyDescent="0.25">
      <c r="A13" s="81">
        <v>8</v>
      </c>
      <c r="B13" s="81" t="s">
        <v>120</v>
      </c>
      <c r="C13" s="82">
        <v>9600</v>
      </c>
      <c r="D13" s="83">
        <f>C13/D3</f>
        <v>1.9561934919887763E-2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28.5" customHeight="1" x14ac:dyDescent="0.25">
      <c r="A14" s="81">
        <v>9</v>
      </c>
      <c r="B14" s="81" t="s">
        <v>273</v>
      </c>
      <c r="C14" s="82">
        <f>2000*18</f>
        <v>36000</v>
      </c>
      <c r="D14" s="83">
        <f>C14/D3</f>
        <v>7.3357255949579106E-2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28.5" customHeight="1" x14ac:dyDescent="0.25">
      <c r="A15" s="81">
        <v>10</v>
      </c>
      <c r="B15" s="81" t="s">
        <v>122</v>
      </c>
      <c r="C15" s="82">
        <v>297146</v>
      </c>
      <c r="D15" s="83">
        <f>C15/D3</f>
        <v>0.60549486601093427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28.5" customHeight="1" x14ac:dyDescent="0.25">
      <c r="A16" s="81">
        <v>11</v>
      </c>
      <c r="B16" s="161" t="s">
        <v>274</v>
      </c>
      <c r="C16" s="82">
        <v>25000</v>
      </c>
      <c r="D16" s="83">
        <f>C16/D3</f>
        <v>5.0942538853874383E-2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28.5" customHeight="1" x14ac:dyDescent="0.25">
      <c r="A17" s="81" t="s">
        <v>124</v>
      </c>
      <c r="B17" s="84" t="s">
        <v>51</v>
      </c>
      <c r="C17" s="82">
        <f>SUM(C6:C16)</f>
        <v>1912244.2699999998</v>
      </c>
      <c r="D17" s="81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28.5" customHeight="1" x14ac:dyDescent="0.25">
      <c r="A18" s="69">
        <v>12</v>
      </c>
      <c r="B18" s="69" t="s">
        <v>125</v>
      </c>
      <c r="C18" s="85">
        <f>C17*2%</f>
        <v>38244.885399999999</v>
      </c>
      <c r="D18" s="86">
        <f>C18/D3</f>
        <v>7.793166241805892E-2</v>
      </c>
      <c r="E18" s="80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28.5" customHeight="1" x14ac:dyDescent="0.25">
      <c r="A19" s="69">
        <v>13</v>
      </c>
      <c r="B19" s="69" t="s">
        <v>53</v>
      </c>
      <c r="C19" s="85">
        <v>490749</v>
      </c>
      <c r="D19" s="86">
        <f>C19/D3</f>
        <v>1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28.5" customHeight="1" x14ac:dyDescent="0.25">
      <c r="A20" s="87" t="s">
        <v>126</v>
      </c>
      <c r="B20" s="87" t="s">
        <v>55</v>
      </c>
      <c r="C20" s="88">
        <f>(C18+C19+C17)/D3</f>
        <v>4.9745147833210046</v>
      </c>
      <c r="D20" s="89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3.5" customHeight="1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3.5" customHeight="1" x14ac:dyDescent="0.2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3.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3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3.5" customHeight="1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3.5" customHeight="1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3.5" customHeight="1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3.5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3.5" customHeight="1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3.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3.5" customHeight="1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3.5" customHeight="1" x14ac:dyDescent="0.2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3.5" customHeight="1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3.5" customHeight="1" x14ac:dyDescent="0.2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3.5" customHeight="1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13.5" customHeight="1" x14ac:dyDescent="0.25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13.5" customHeight="1" x14ac:dyDescent="0.25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13.5" customHeight="1" x14ac:dyDescent="0.25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13.5" customHeight="1" x14ac:dyDescent="0.25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3.5" customHeight="1" x14ac:dyDescent="0.25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13.5" customHeight="1" x14ac:dyDescent="0.25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13.5" customHeight="1" x14ac:dyDescent="0.2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3.5" customHeight="1" x14ac:dyDescent="0.2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13.5" customHeight="1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3.5" customHeight="1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3.5" customHeight="1" x14ac:dyDescent="0.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3.5" customHeight="1" x14ac:dyDescent="0.2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3.5" customHeight="1" x14ac:dyDescent="0.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3.5" customHeight="1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3.5" customHeight="1" x14ac:dyDescent="0.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3.5" customHeight="1" x14ac:dyDescent="0.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3.5" customHeight="1" x14ac:dyDescent="0.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3.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3.5" customHeight="1" x14ac:dyDescent="0.2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3.5" customHeight="1" x14ac:dyDescent="0.2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13.5" customHeight="1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3.5" customHeight="1" x14ac:dyDescent="0.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3.5" customHeight="1" x14ac:dyDescent="0.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3.5" customHeight="1" x14ac:dyDescent="0.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3.5" customHeight="1" x14ac:dyDescent="0.2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3.5" customHeight="1" x14ac:dyDescent="0.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3.5" customHeight="1" x14ac:dyDescent="0.2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13.5" customHeight="1" x14ac:dyDescent="0.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3.5" customHeight="1" x14ac:dyDescent="0.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3.5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3.5" customHeight="1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3.5" customHeight="1" x14ac:dyDescent="0.2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3.5" customHeight="1" x14ac:dyDescent="0.2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3.5" customHeight="1" x14ac:dyDescent="0.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3.5" customHeight="1" x14ac:dyDescent="0.2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3.5" customHeight="1" x14ac:dyDescent="0.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3.5" customHeight="1" x14ac:dyDescent="0.2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3.5" customHeight="1" x14ac:dyDescent="0.2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13.5" customHeight="1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13.5" customHeight="1" x14ac:dyDescent="0.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3.5" customHeight="1" x14ac:dyDescent="0.2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3.5" customHeight="1" x14ac:dyDescent="0.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3.5" customHeight="1" x14ac:dyDescent="0.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13.5" customHeight="1" x14ac:dyDescent="0.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3.5" customHeight="1" x14ac:dyDescent="0.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3.5" customHeight="1" x14ac:dyDescent="0.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3.5" customHeight="1" x14ac:dyDescent="0.2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3.5" customHeight="1" x14ac:dyDescent="0.2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13.5" customHeight="1" x14ac:dyDescent="0.2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3.5" customHeight="1" x14ac:dyDescent="0.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3.5" customHeight="1" x14ac:dyDescent="0.2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3.5" customHeight="1" x14ac:dyDescent="0.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13.5" customHeight="1" x14ac:dyDescent="0.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3.5" customHeight="1" x14ac:dyDescent="0.2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3.5" customHeight="1" x14ac:dyDescent="0.2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3.5" customHeight="1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13.5" customHeight="1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3.5" customHeight="1" x14ac:dyDescent="0.2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13.5" customHeight="1" x14ac:dyDescent="0.2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3.5" customHeight="1" x14ac:dyDescent="0.2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3.5" customHeight="1" x14ac:dyDescent="0.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3.5" customHeight="1" x14ac:dyDescent="0.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13.5" customHeight="1" x14ac:dyDescent="0.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3.5" customHeight="1" x14ac:dyDescent="0.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3.5" customHeight="1" x14ac:dyDescent="0.2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3.5" customHeight="1" x14ac:dyDescent="0.2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3.5" customHeight="1" x14ac:dyDescent="0.2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3.5" customHeight="1" x14ac:dyDescent="0.2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3.5" customHeight="1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3.5" customHeight="1" x14ac:dyDescent="0.2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3.5" customHeight="1" x14ac:dyDescent="0.2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3.5" customHeight="1" x14ac:dyDescent="0.2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3.5" customHeight="1" x14ac:dyDescent="0.2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3.5" customHeight="1" x14ac:dyDescent="0.2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3.5" customHeight="1" x14ac:dyDescent="0.2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3.5" customHeight="1" x14ac:dyDescent="0.2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3.5" customHeight="1" x14ac:dyDescent="0.2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3.5" customHeight="1" x14ac:dyDescent="0.2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3.5" customHeight="1" x14ac:dyDescent="0.2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3.5" customHeight="1" x14ac:dyDescent="0.2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3.5" customHeight="1" x14ac:dyDescent="0.2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3.5" customHeight="1" x14ac:dyDescent="0.2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3.5" customHeight="1" x14ac:dyDescent="0.2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3.5" customHeight="1" x14ac:dyDescent="0.2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3.5" customHeight="1" x14ac:dyDescent="0.2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3.5" customHeight="1" x14ac:dyDescent="0.2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3.5" customHeight="1" x14ac:dyDescent="0.2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3.5" customHeight="1" x14ac:dyDescent="0.2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3.5" customHeight="1" x14ac:dyDescent="0.2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3.5" customHeight="1" x14ac:dyDescent="0.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3.5" customHeight="1" x14ac:dyDescent="0.2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3.5" customHeight="1" x14ac:dyDescent="0.2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3.5" customHeight="1" x14ac:dyDescent="0.2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3.5" customHeight="1" x14ac:dyDescent="0.2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3.5" customHeight="1" x14ac:dyDescent="0.2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3.5" customHeight="1" x14ac:dyDescent="0.2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3.5" customHeight="1" x14ac:dyDescent="0.2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3.5" customHeight="1" x14ac:dyDescent="0.2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3.5" customHeight="1" x14ac:dyDescent="0.2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3.5" customHeight="1" x14ac:dyDescent="0.2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3.5" customHeight="1" x14ac:dyDescent="0.2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3.5" customHeight="1" x14ac:dyDescent="0.2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3.5" customHeight="1" x14ac:dyDescent="0.2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3.5" customHeight="1" x14ac:dyDescent="0.2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3.5" customHeight="1" x14ac:dyDescent="0.2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3.5" customHeight="1" x14ac:dyDescent="0.2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3.5" customHeight="1" x14ac:dyDescent="0.2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3.5" customHeight="1" x14ac:dyDescent="0.2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13.5" customHeight="1" x14ac:dyDescent="0.2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3.5" customHeight="1" x14ac:dyDescent="0.2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3.5" customHeight="1" x14ac:dyDescent="0.2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3.5" customHeight="1" x14ac:dyDescent="0.25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3.5" customHeight="1" x14ac:dyDescent="0.2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3.5" customHeight="1" x14ac:dyDescent="0.2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3.5" customHeight="1" x14ac:dyDescent="0.2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3.5" customHeight="1" x14ac:dyDescent="0.25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3.5" customHeight="1" x14ac:dyDescent="0.25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3.5" customHeight="1" x14ac:dyDescent="0.25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3.5" customHeight="1" x14ac:dyDescent="0.25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3.5" customHeight="1" x14ac:dyDescent="0.2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3.5" customHeight="1" x14ac:dyDescent="0.25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3.5" customHeight="1" x14ac:dyDescent="0.2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3.5" customHeight="1" x14ac:dyDescent="0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3.5" customHeight="1" x14ac:dyDescent="0.25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3.5" customHeight="1" x14ac:dyDescent="0.25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3.5" customHeight="1" x14ac:dyDescent="0.25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3.5" customHeight="1" x14ac:dyDescent="0.25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3.5" customHeight="1" x14ac:dyDescent="0.25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3.5" customHeight="1" x14ac:dyDescent="0.2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3.5" customHeight="1" x14ac:dyDescent="0.2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3.5" customHeight="1" x14ac:dyDescent="0.2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3.5" customHeight="1" x14ac:dyDescent="0.2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3.5" customHeight="1" x14ac:dyDescent="0.2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3.5" customHeight="1" x14ac:dyDescent="0.2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3.5" customHeight="1" x14ac:dyDescent="0.2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3.5" customHeight="1" x14ac:dyDescent="0.2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3.5" customHeight="1" x14ac:dyDescent="0.2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3.5" customHeight="1" x14ac:dyDescent="0.2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3.5" customHeight="1" x14ac:dyDescent="0.2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3.5" customHeight="1" x14ac:dyDescent="0.2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3.5" customHeight="1" x14ac:dyDescent="0.2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3.5" customHeight="1" x14ac:dyDescent="0.2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3.5" customHeight="1" x14ac:dyDescent="0.2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3.5" customHeight="1" x14ac:dyDescent="0.2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3.5" customHeight="1" x14ac:dyDescent="0.2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3.5" customHeight="1" x14ac:dyDescent="0.2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3.5" customHeight="1" x14ac:dyDescent="0.2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3.5" customHeight="1" x14ac:dyDescent="0.2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3.5" customHeight="1" x14ac:dyDescent="0.2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3.5" customHeight="1" x14ac:dyDescent="0.2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3.5" customHeight="1" x14ac:dyDescent="0.2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3.5" customHeight="1" x14ac:dyDescent="0.2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3.5" customHeight="1" x14ac:dyDescent="0.2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3.5" customHeight="1" x14ac:dyDescent="0.2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3.5" customHeight="1" x14ac:dyDescent="0.25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3.5" customHeight="1" x14ac:dyDescent="0.25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3.5" customHeight="1" x14ac:dyDescent="0.25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3.5" customHeight="1" x14ac:dyDescent="0.25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3.5" customHeight="1" x14ac:dyDescent="0.2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3.5" customHeight="1" x14ac:dyDescent="0.2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3.5" customHeight="1" x14ac:dyDescent="0.25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3.5" customHeight="1" x14ac:dyDescent="0.25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3.5" customHeight="1" x14ac:dyDescent="0.25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3.5" customHeight="1" x14ac:dyDescent="0.25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3.5" customHeight="1" x14ac:dyDescent="0.25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3.5" customHeight="1" x14ac:dyDescent="0.25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3.5" customHeight="1" x14ac:dyDescent="0.25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3.5" customHeight="1" x14ac:dyDescent="0.25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3.5" customHeight="1" x14ac:dyDescent="0.25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3.5" customHeight="1" x14ac:dyDescent="0.2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3.5" customHeight="1" x14ac:dyDescent="0.25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3.5" customHeight="1" x14ac:dyDescent="0.25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3.5" customHeight="1" x14ac:dyDescent="0.25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3.5" customHeight="1" x14ac:dyDescent="0.25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3.5" customHeight="1" x14ac:dyDescent="0.25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3.5" customHeight="1" x14ac:dyDescent="0.2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3.5" customHeight="1" x14ac:dyDescent="0.25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3.5" customHeight="1" x14ac:dyDescent="0.25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3.5" customHeight="1" x14ac:dyDescent="0.25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3.5" customHeight="1" x14ac:dyDescent="0.2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3.5" customHeight="1" x14ac:dyDescent="0.25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3.5" customHeight="1" x14ac:dyDescent="0.25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3.5" customHeight="1" x14ac:dyDescent="0.25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3.5" customHeight="1" x14ac:dyDescent="0.25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3.5" customHeight="1" x14ac:dyDescent="0.2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:D2"/>
    <mergeCell ref="A4:B4"/>
  </mergeCells>
  <hyperlinks>
    <hyperlink ref="B7" location="null!A1" display="Technical manpower" xr:uid="{00000000-0004-0000-0700-000000000000}"/>
    <hyperlink ref="B8" location="null!A1" display="HK Manpower" xr:uid="{00000000-0004-0000-0700-000001000000}"/>
    <hyperlink ref="B9" location="null!A1" display="LP Manpower -Security Services " xr:uid="{00000000-0004-0000-0700-000002000000}"/>
    <hyperlink ref="B10" location="null!A1" display="AMC" xr:uid="{00000000-0004-0000-0700-000003000000}"/>
    <hyperlink ref="B11" location="null!A1" display="Consumables" xr:uid="{00000000-0004-0000-0700-000004000000}"/>
    <hyperlink ref="B16" location="null!A1" display="Liosaning &amp; Licenses" xr:uid="{00000000-0004-0000-0700-000005000000}"/>
  </hyperlinks>
  <pageMargins left="0.7" right="0.7" top="0.75" bottom="0.75" header="0" footer="0"/>
  <pageSetup paperSize="9" scale="85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28515625" customWidth="1"/>
    <col min="7" max="7" width="12.28515625" customWidth="1"/>
    <col min="8" max="8" width="14.28515625" customWidth="1"/>
    <col min="9" max="26" width="12.42578125" customWidth="1"/>
  </cols>
  <sheetData>
    <row r="1" spans="1:26" ht="13.5" customHeight="1" x14ac:dyDescent="0.25">
      <c r="A1" s="381" t="s">
        <v>277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2.75" customHeight="1" x14ac:dyDescent="0.25">
      <c r="A2" s="384" t="s">
        <v>128</v>
      </c>
      <c r="B2" s="385"/>
      <c r="C2" s="385"/>
      <c r="D2" s="386"/>
      <c r="E2" s="387" t="s">
        <v>129</v>
      </c>
      <c r="F2" s="389">
        <f>'CAM-Aug`23'!C20</f>
        <v>4.9745147833210046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3.5" customHeight="1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" customHeight="1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16470.618447575845</v>
      </c>
      <c r="G5" s="110">
        <f>C5*65%</f>
        <v>2152.15</v>
      </c>
      <c r="H5" s="111">
        <f>F5/G5</f>
        <v>7.6530996666476989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18982.748413152953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18972.799383586313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18147.029929555025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17092.432795490971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13545.603754983096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6869.8049157663072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3755.7586614073584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2.75" customHeight="1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33453.611917833754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38234.120624605239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48322.436605180235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47327.533648516037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2.75" customHeight="1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C24*F2</f>
        <v>833499.85000456765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2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2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115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109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128">
        <f>C30*F2</f>
        <v>9949.0295666420097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130">
        <f>C31*F2</f>
        <v>2920.0401778094297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130">
        <f>C32*F2</f>
        <v>15172.270089129064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115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2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109">
        <f>C34*F2</f>
        <v>56833.831399442475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109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130">
        <f>C36*F2</f>
        <v>10725.053872840086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130">
        <f>C37*F2</f>
        <v>10312.169145824442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130">
        <f>C38*F2</f>
        <v>14560.40477078058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130">
        <f>C39*F2</f>
        <v>6471.8437331006271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115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109">
        <f>C41*F2</f>
        <v>43273.304100109417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2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115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115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2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10451.455559757431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56833.831399442475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42069.471522545733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43273.304100109417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2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2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28041.339833580503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56833.831399442475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2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134">
        <f>C57*F2</f>
        <v>19684.154997601214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134">
        <f>C58*F2</f>
        <v>7461.7721749815073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2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134">
        <f>C59*F2</f>
        <v>7461.7721749815073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134">
        <f>C60*F2</f>
        <v>7461.7721749815073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15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43273.304100109417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2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15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" customHeight="1" x14ac:dyDescent="0.3">
      <c r="A64" s="104"/>
      <c r="B64" s="114"/>
      <c r="C64" s="106"/>
      <c r="D64" s="107"/>
      <c r="E64" s="108"/>
      <c r="F64" s="115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2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2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28041.339833580503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14923.544349963015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4974.5147833210049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17037.71313287444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4974.5147833210049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9949.0295666420097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4974.5147833210049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11441.384001638311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2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4974.5147833210049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5735.6155451691184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2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5730.6410303857974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5730.6410303857974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4228.3375658228542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4228.3375658228542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43273.304100109417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2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2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12869.069744451439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15172.270089129064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2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2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15062.830763896001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13351.597678433576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15062.830763896001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13356.572193216898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42069.471522545733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43273.304100109417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2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10451.455559757431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55545.43207056234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2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1288.3993288801403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2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38005.292944572473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4064.1785779732609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43273.304100109417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2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2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7959.2236533136074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4909.8460911378315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2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15172.270089129064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2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28414.428442329579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28419.402957112899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6163.4238165347251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6168.3983313180461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6163.4238165347251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6163.4238165347251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3979.6118266568037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3979.6118266568037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5471.966261653105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3979.6118266568037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2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22997.181843293005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2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9436.6545439599449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10839.467712856469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2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28041.339833580503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56833.831399442475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3.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9635.6351352927868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32433.836387252952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43273.304100109417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3.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2441238.1553999991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4.2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scale="5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67.28515625" customWidth="1"/>
    <col min="3" max="3" width="16.42578125" customWidth="1"/>
    <col min="4" max="4" width="11.5703125" customWidth="1"/>
    <col min="5" max="5" width="24.42578125" customWidth="1"/>
    <col min="6" max="24" width="9" customWidth="1"/>
  </cols>
  <sheetData>
    <row r="1" spans="1:26" ht="13.5" customHeight="1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28.5" customHeight="1" x14ac:dyDescent="0.25">
      <c r="A2" s="379" t="s">
        <v>278</v>
      </c>
      <c r="B2" s="374"/>
      <c r="C2" s="374"/>
      <c r="D2" s="375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28.5" customHeight="1" x14ac:dyDescent="0.25">
      <c r="A3" s="69"/>
      <c r="B3" s="70" t="s">
        <v>107</v>
      </c>
      <c r="C3" s="71" t="s">
        <v>108</v>
      </c>
      <c r="D3" s="72">
        <v>490749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28.5" customHeight="1" x14ac:dyDescent="0.25">
      <c r="A4" s="380" t="s">
        <v>109</v>
      </c>
      <c r="B4" s="375"/>
      <c r="C4" s="73" t="s">
        <v>110</v>
      </c>
      <c r="D4" s="74">
        <f>SUM(D6:D16)</f>
        <v>5.0859465225604135</v>
      </c>
      <c r="E4" s="68"/>
      <c r="F4" s="68"/>
      <c r="G4" s="75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28.5" customHeight="1" x14ac:dyDescent="0.25">
      <c r="A5" s="76" t="s">
        <v>33</v>
      </c>
      <c r="B5" s="77" t="s">
        <v>34</v>
      </c>
      <c r="C5" s="78" t="s">
        <v>111</v>
      </c>
      <c r="D5" s="79" t="s">
        <v>112</v>
      </c>
      <c r="E5" s="80"/>
      <c r="F5" s="68"/>
      <c r="G5" s="75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28.5" customHeight="1" x14ac:dyDescent="0.25">
      <c r="A6" s="81">
        <v>1</v>
      </c>
      <c r="B6" s="81" t="s">
        <v>113</v>
      </c>
      <c r="C6" s="82">
        <v>140000</v>
      </c>
      <c r="D6" s="83">
        <f>C6/D3</f>
        <v>0.28527821758169652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28.5" customHeight="1" x14ac:dyDescent="0.25">
      <c r="A7" s="81">
        <v>2</v>
      </c>
      <c r="B7" s="161" t="s">
        <v>114</v>
      </c>
      <c r="C7" s="82">
        <v>303890.86</v>
      </c>
      <c r="D7" s="83">
        <f>C7/D3</f>
        <v>0.61923887771549202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28.5" customHeight="1" x14ac:dyDescent="0.25">
      <c r="A8" s="81">
        <v>3</v>
      </c>
      <c r="B8" s="161" t="s">
        <v>115</v>
      </c>
      <c r="C8" s="82">
        <v>200251</v>
      </c>
      <c r="D8" s="83">
        <f>C8/D3</f>
        <v>0.40805177392108799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28.5" customHeight="1" x14ac:dyDescent="0.25">
      <c r="A9" s="81">
        <v>4</v>
      </c>
      <c r="B9" s="161" t="s">
        <v>116</v>
      </c>
      <c r="C9" s="82">
        <v>674625.17</v>
      </c>
      <c r="D9" s="83">
        <f>C9/D3</f>
        <v>1.3746847573810645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28.5" customHeight="1" x14ac:dyDescent="0.25">
      <c r="A10" s="81">
        <v>5</v>
      </c>
      <c r="B10" s="161" t="s">
        <v>117</v>
      </c>
      <c r="C10" s="82">
        <f>45000+5000</f>
        <v>50000</v>
      </c>
      <c r="D10" s="83">
        <f>C10/D3</f>
        <v>0.10188507770774877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28.5" customHeight="1" x14ac:dyDescent="0.25">
      <c r="A11" s="81">
        <v>6</v>
      </c>
      <c r="B11" s="161" t="s">
        <v>118</v>
      </c>
      <c r="C11" s="82">
        <v>0</v>
      </c>
      <c r="D11" s="83">
        <f>C11/D3</f>
        <v>0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28.5" customHeight="1" x14ac:dyDescent="0.25">
      <c r="A12" s="81">
        <v>7</v>
      </c>
      <c r="B12" s="81" t="s">
        <v>119</v>
      </c>
      <c r="C12" s="82">
        <v>284860.14</v>
      </c>
      <c r="D12" s="83">
        <f>C12/D3</f>
        <v>0.58045994999480388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28.5" customHeight="1" x14ac:dyDescent="0.25">
      <c r="A13" s="81">
        <v>8</v>
      </c>
      <c r="B13" s="81" t="s">
        <v>120</v>
      </c>
      <c r="C13" s="82">
        <v>486150</v>
      </c>
      <c r="D13" s="83">
        <f>C13/D3</f>
        <v>0.99062861055244122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28.5" customHeight="1" x14ac:dyDescent="0.25">
      <c r="A14" s="81">
        <v>9</v>
      </c>
      <c r="B14" s="81" t="s">
        <v>273</v>
      </c>
      <c r="C14" s="82">
        <v>34000</v>
      </c>
      <c r="D14" s="83">
        <f>C14/D3</f>
        <v>6.9281852841269156E-2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28.5" customHeight="1" x14ac:dyDescent="0.25">
      <c r="A15" s="81">
        <v>10</v>
      </c>
      <c r="B15" s="81" t="s">
        <v>122</v>
      </c>
      <c r="C15" s="82">
        <v>297146</v>
      </c>
      <c r="D15" s="83">
        <f>C15/D3</f>
        <v>0.60549486601093427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28.5" customHeight="1" x14ac:dyDescent="0.25">
      <c r="A16" s="81">
        <v>11</v>
      </c>
      <c r="B16" s="161" t="s">
        <v>274</v>
      </c>
      <c r="C16" s="82">
        <v>25000</v>
      </c>
      <c r="D16" s="83">
        <f>C16/D3</f>
        <v>5.0942538853874383E-2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28.5" customHeight="1" x14ac:dyDescent="0.25">
      <c r="A17" s="81" t="s">
        <v>124</v>
      </c>
      <c r="B17" s="84" t="s">
        <v>51</v>
      </c>
      <c r="C17" s="82">
        <f>SUM(C6:C16)</f>
        <v>2495923.17</v>
      </c>
      <c r="D17" s="81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28.5" customHeight="1" x14ac:dyDescent="0.25">
      <c r="A18" s="69">
        <v>12</v>
      </c>
      <c r="B18" s="69" t="s">
        <v>125</v>
      </c>
      <c r="C18" s="85">
        <f>C17*2%</f>
        <v>49918.463400000001</v>
      </c>
      <c r="D18" s="86">
        <f>C18/D3</f>
        <v>0.10171893045120825</v>
      </c>
      <c r="E18" s="80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28.5" customHeight="1" x14ac:dyDescent="0.25">
      <c r="A19" s="69">
        <v>13</v>
      </c>
      <c r="B19" s="69" t="s">
        <v>53</v>
      </c>
      <c r="C19" s="85">
        <v>490749</v>
      </c>
      <c r="D19" s="86">
        <f>C19/D3</f>
        <v>1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28.5" customHeight="1" x14ac:dyDescent="0.25">
      <c r="A20" s="87" t="s">
        <v>126</v>
      </c>
      <c r="B20" s="87" t="s">
        <v>55</v>
      </c>
      <c r="C20" s="88">
        <f>(C18+C19+C17)/D3</f>
        <v>6.1876654530116202</v>
      </c>
      <c r="D20" s="89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3.5" customHeight="1" x14ac:dyDescent="0.25">
      <c r="A21" s="90"/>
      <c r="B21" s="91"/>
      <c r="C21" s="91"/>
      <c r="D21" s="92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3.5" customHeight="1" x14ac:dyDescent="0.2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3.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3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3.5" customHeight="1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3.5" customHeight="1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3.5" customHeight="1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3.5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3.5" customHeight="1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3.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3.5" customHeight="1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3.5" customHeight="1" x14ac:dyDescent="0.2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3.5" customHeight="1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3.5" customHeight="1" x14ac:dyDescent="0.2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3.5" customHeight="1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13.5" customHeight="1" x14ac:dyDescent="0.25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13.5" customHeight="1" x14ac:dyDescent="0.25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13.5" customHeight="1" x14ac:dyDescent="0.25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13.5" customHeight="1" x14ac:dyDescent="0.25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3.5" customHeight="1" x14ac:dyDescent="0.25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13.5" customHeight="1" x14ac:dyDescent="0.25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13.5" customHeight="1" x14ac:dyDescent="0.2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3.5" customHeight="1" x14ac:dyDescent="0.2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13.5" customHeight="1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3.5" customHeight="1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3.5" customHeight="1" x14ac:dyDescent="0.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3.5" customHeight="1" x14ac:dyDescent="0.2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3.5" customHeight="1" x14ac:dyDescent="0.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3.5" customHeight="1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3.5" customHeight="1" x14ac:dyDescent="0.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3.5" customHeight="1" x14ac:dyDescent="0.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3.5" customHeight="1" x14ac:dyDescent="0.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3.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3.5" customHeight="1" x14ac:dyDescent="0.2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3.5" customHeight="1" x14ac:dyDescent="0.2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13.5" customHeight="1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3.5" customHeight="1" x14ac:dyDescent="0.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3.5" customHeight="1" x14ac:dyDescent="0.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3.5" customHeight="1" x14ac:dyDescent="0.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3.5" customHeight="1" x14ac:dyDescent="0.2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3.5" customHeight="1" x14ac:dyDescent="0.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3.5" customHeight="1" x14ac:dyDescent="0.2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13.5" customHeight="1" x14ac:dyDescent="0.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3.5" customHeight="1" x14ac:dyDescent="0.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3.5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3.5" customHeight="1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3.5" customHeight="1" x14ac:dyDescent="0.2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3.5" customHeight="1" x14ac:dyDescent="0.2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3.5" customHeight="1" x14ac:dyDescent="0.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3.5" customHeight="1" x14ac:dyDescent="0.2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3.5" customHeight="1" x14ac:dyDescent="0.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3.5" customHeight="1" x14ac:dyDescent="0.2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3.5" customHeight="1" x14ac:dyDescent="0.2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13.5" customHeight="1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13.5" customHeight="1" x14ac:dyDescent="0.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3.5" customHeight="1" x14ac:dyDescent="0.2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3.5" customHeight="1" x14ac:dyDescent="0.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3.5" customHeight="1" x14ac:dyDescent="0.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13.5" customHeight="1" x14ac:dyDescent="0.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3.5" customHeight="1" x14ac:dyDescent="0.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3.5" customHeight="1" x14ac:dyDescent="0.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3.5" customHeight="1" x14ac:dyDescent="0.2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3.5" customHeight="1" x14ac:dyDescent="0.2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13.5" customHeight="1" x14ac:dyDescent="0.2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3.5" customHeight="1" x14ac:dyDescent="0.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3.5" customHeight="1" x14ac:dyDescent="0.2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3.5" customHeight="1" x14ac:dyDescent="0.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13.5" customHeight="1" x14ac:dyDescent="0.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3.5" customHeight="1" x14ac:dyDescent="0.2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3.5" customHeight="1" x14ac:dyDescent="0.2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3.5" customHeight="1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13.5" customHeight="1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3.5" customHeight="1" x14ac:dyDescent="0.2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13.5" customHeight="1" x14ac:dyDescent="0.2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3.5" customHeight="1" x14ac:dyDescent="0.2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3.5" customHeight="1" x14ac:dyDescent="0.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3.5" customHeight="1" x14ac:dyDescent="0.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13.5" customHeight="1" x14ac:dyDescent="0.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3.5" customHeight="1" x14ac:dyDescent="0.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3.5" customHeight="1" x14ac:dyDescent="0.2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3.5" customHeight="1" x14ac:dyDescent="0.2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3.5" customHeight="1" x14ac:dyDescent="0.2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3.5" customHeight="1" x14ac:dyDescent="0.2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3.5" customHeight="1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3.5" customHeight="1" x14ac:dyDescent="0.2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3.5" customHeight="1" x14ac:dyDescent="0.2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3.5" customHeight="1" x14ac:dyDescent="0.2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3.5" customHeight="1" x14ac:dyDescent="0.2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3.5" customHeight="1" x14ac:dyDescent="0.2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3.5" customHeight="1" x14ac:dyDescent="0.2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3.5" customHeight="1" x14ac:dyDescent="0.2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3.5" customHeight="1" x14ac:dyDescent="0.2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3.5" customHeight="1" x14ac:dyDescent="0.2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3.5" customHeight="1" x14ac:dyDescent="0.2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3.5" customHeight="1" x14ac:dyDescent="0.2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3.5" customHeight="1" x14ac:dyDescent="0.2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3.5" customHeight="1" x14ac:dyDescent="0.2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3.5" customHeight="1" x14ac:dyDescent="0.2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3.5" customHeight="1" x14ac:dyDescent="0.2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3.5" customHeight="1" x14ac:dyDescent="0.2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3.5" customHeight="1" x14ac:dyDescent="0.2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3.5" customHeight="1" x14ac:dyDescent="0.2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3.5" customHeight="1" x14ac:dyDescent="0.2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3.5" customHeight="1" x14ac:dyDescent="0.2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3.5" customHeight="1" x14ac:dyDescent="0.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3.5" customHeight="1" x14ac:dyDescent="0.2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3.5" customHeight="1" x14ac:dyDescent="0.2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3.5" customHeight="1" x14ac:dyDescent="0.2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3.5" customHeight="1" x14ac:dyDescent="0.2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3.5" customHeight="1" x14ac:dyDescent="0.2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3.5" customHeight="1" x14ac:dyDescent="0.2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3.5" customHeight="1" x14ac:dyDescent="0.2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3.5" customHeight="1" x14ac:dyDescent="0.2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3.5" customHeight="1" x14ac:dyDescent="0.2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3.5" customHeight="1" x14ac:dyDescent="0.2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3.5" customHeight="1" x14ac:dyDescent="0.2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3.5" customHeight="1" x14ac:dyDescent="0.2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3.5" customHeight="1" x14ac:dyDescent="0.2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3.5" customHeight="1" x14ac:dyDescent="0.2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3.5" customHeight="1" x14ac:dyDescent="0.2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3.5" customHeight="1" x14ac:dyDescent="0.2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3.5" customHeight="1" x14ac:dyDescent="0.2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3.5" customHeight="1" x14ac:dyDescent="0.2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13.5" customHeight="1" x14ac:dyDescent="0.2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3.5" customHeight="1" x14ac:dyDescent="0.2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3.5" customHeight="1" x14ac:dyDescent="0.2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3.5" customHeight="1" x14ac:dyDescent="0.25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3.5" customHeight="1" x14ac:dyDescent="0.2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3.5" customHeight="1" x14ac:dyDescent="0.2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3.5" customHeight="1" x14ac:dyDescent="0.2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3.5" customHeight="1" x14ac:dyDescent="0.25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3.5" customHeight="1" x14ac:dyDescent="0.25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3.5" customHeight="1" x14ac:dyDescent="0.25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3.5" customHeight="1" x14ac:dyDescent="0.25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3.5" customHeight="1" x14ac:dyDescent="0.2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3.5" customHeight="1" x14ac:dyDescent="0.25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3.5" customHeight="1" x14ac:dyDescent="0.2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3.5" customHeight="1" x14ac:dyDescent="0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3.5" customHeight="1" x14ac:dyDescent="0.25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3.5" customHeight="1" x14ac:dyDescent="0.25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3.5" customHeight="1" x14ac:dyDescent="0.25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3.5" customHeight="1" x14ac:dyDescent="0.25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3.5" customHeight="1" x14ac:dyDescent="0.25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3.5" customHeight="1" x14ac:dyDescent="0.2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3.5" customHeight="1" x14ac:dyDescent="0.2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3.5" customHeight="1" x14ac:dyDescent="0.2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3.5" customHeight="1" x14ac:dyDescent="0.2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3.5" customHeight="1" x14ac:dyDescent="0.2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3.5" customHeight="1" x14ac:dyDescent="0.2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3.5" customHeight="1" x14ac:dyDescent="0.2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3.5" customHeight="1" x14ac:dyDescent="0.2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3.5" customHeight="1" x14ac:dyDescent="0.2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3.5" customHeight="1" x14ac:dyDescent="0.2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3.5" customHeight="1" x14ac:dyDescent="0.2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3.5" customHeight="1" x14ac:dyDescent="0.2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3.5" customHeight="1" x14ac:dyDescent="0.2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3.5" customHeight="1" x14ac:dyDescent="0.2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3.5" customHeight="1" x14ac:dyDescent="0.2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3.5" customHeight="1" x14ac:dyDescent="0.2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3.5" customHeight="1" x14ac:dyDescent="0.2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3.5" customHeight="1" x14ac:dyDescent="0.2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3.5" customHeight="1" x14ac:dyDescent="0.2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3.5" customHeight="1" x14ac:dyDescent="0.2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3.5" customHeight="1" x14ac:dyDescent="0.2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3.5" customHeight="1" x14ac:dyDescent="0.2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3.5" customHeight="1" x14ac:dyDescent="0.2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3.5" customHeight="1" x14ac:dyDescent="0.2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3.5" customHeight="1" x14ac:dyDescent="0.2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3.5" customHeight="1" x14ac:dyDescent="0.2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3.5" customHeight="1" x14ac:dyDescent="0.25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3.5" customHeight="1" x14ac:dyDescent="0.25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3.5" customHeight="1" x14ac:dyDescent="0.25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3.5" customHeight="1" x14ac:dyDescent="0.25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3.5" customHeight="1" x14ac:dyDescent="0.2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3.5" customHeight="1" x14ac:dyDescent="0.2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3.5" customHeight="1" x14ac:dyDescent="0.25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3.5" customHeight="1" x14ac:dyDescent="0.25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3.5" customHeight="1" x14ac:dyDescent="0.25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3.5" customHeight="1" x14ac:dyDescent="0.25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3.5" customHeight="1" x14ac:dyDescent="0.25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3.5" customHeight="1" x14ac:dyDescent="0.25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3.5" customHeight="1" x14ac:dyDescent="0.25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3.5" customHeight="1" x14ac:dyDescent="0.25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3.5" customHeight="1" x14ac:dyDescent="0.25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3.5" customHeight="1" x14ac:dyDescent="0.2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3.5" customHeight="1" x14ac:dyDescent="0.25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3.5" customHeight="1" x14ac:dyDescent="0.25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3.5" customHeight="1" x14ac:dyDescent="0.25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3.5" customHeight="1" x14ac:dyDescent="0.25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3.5" customHeight="1" x14ac:dyDescent="0.25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3.5" customHeight="1" x14ac:dyDescent="0.2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3.5" customHeight="1" x14ac:dyDescent="0.25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3.5" customHeight="1" x14ac:dyDescent="0.25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3.5" customHeight="1" x14ac:dyDescent="0.25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3.5" customHeight="1" x14ac:dyDescent="0.2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3.5" customHeight="1" x14ac:dyDescent="0.25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3.5" customHeight="1" x14ac:dyDescent="0.25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3.5" customHeight="1" x14ac:dyDescent="0.25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3.5" customHeight="1" x14ac:dyDescent="0.25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3.5" customHeight="1" x14ac:dyDescent="0.2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:D2"/>
    <mergeCell ref="A4:B4"/>
  </mergeCells>
  <hyperlinks>
    <hyperlink ref="B7" location="null!A1" display="Technical manpower" xr:uid="{00000000-0004-0000-0900-000000000000}"/>
    <hyperlink ref="B8" location="null!A1" display="HK Manpower" xr:uid="{00000000-0004-0000-0900-000001000000}"/>
    <hyperlink ref="B9" location="null!A1" display="LP Manpower -Security Services " xr:uid="{00000000-0004-0000-0900-000002000000}"/>
    <hyperlink ref="B10" location="null!A1" display="AMC" xr:uid="{00000000-0004-0000-0900-000003000000}"/>
    <hyperlink ref="B11" location="null!A1" display="Consumables" xr:uid="{00000000-0004-0000-0900-000004000000}"/>
    <hyperlink ref="B16" location="null!A1" display="Liosaning &amp; Licenses" xr:uid="{00000000-0004-0000-0900-000005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28515625" customWidth="1"/>
    <col min="7" max="7" width="12.28515625" customWidth="1"/>
    <col min="8" max="8" width="14.28515625" customWidth="1"/>
    <col min="9" max="26" width="12.42578125" customWidth="1"/>
  </cols>
  <sheetData>
    <row r="1" spans="1:26" x14ac:dyDescent="0.25">
      <c r="A1" s="381" t="s">
        <v>279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'CAM-Sep`23'!C20</f>
        <v>6.1876654530116202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20487.360314921476</v>
      </c>
      <c r="G5" s="110">
        <f>C5*65%</f>
        <v>2152.15</v>
      </c>
      <c r="H5" s="111">
        <f>F5/G5</f>
        <v>9.5194853123255694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23612.131368692342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23599.756037786319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22572.603572586391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21260.818496547927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16849.013028550642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8545.1659906090481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4671.6874170237734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41612.050171503142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47558.396671847309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60106.982210554881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58869.449119952551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C24*F2</f>
        <v>1036768.097313909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115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109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128">
        <f>C30*F2</f>
        <v>12375.33090602324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130">
        <f>C31*F2</f>
        <v>3632.159620917821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130">
        <f>C32*F2</f>
        <v>18872.379631685442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115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109">
        <f>C34*F2</f>
        <v>70694.07780065776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109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130">
        <f>C36*F2</f>
        <v>13340.606716693053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130">
        <f>C37*F2</f>
        <v>12827.030484093089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130">
        <f>C38*F2</f>
        <v>18111.296780965011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130">
        <f>C39*F2</f>
        <v>8050.1527543681177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115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109">
        <f>C41*F2</f>
        <v>53826.501775748082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115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115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13000.285116777413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70694.07780065776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52329.086736119272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53826.501775748082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34879.870158626502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70694.07780065776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134">
        <f>C57*F2</f>
        <v>24484.592197566981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134">
        <f>C58*F2</f>
        <v>9281.4981795174299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134">
        <f>C59*F2</f>
        <v>9281.4981795174299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134">
        <f>C60*F2</f>
        <v>9281.4981795174299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15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53826.501775748082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15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15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34879.870158626502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18562.99635903486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6187.6654530116202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21192.754176564798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6187.6654530116202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12375.33090602324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6187.6654530116202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14231.630541926726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6187.6654530116202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7134.3782673223977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7128.1906018693862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7128.1906018693862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5259.5156350598772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5259.5156350598772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53826.501775748082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16007.490526941061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18872.379631685442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18736.250991719186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16607.694075883188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18736.250991719186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16613.881741336201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52329.086736119272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53826.501775748082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13000.285116777413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69091.472448327753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1602.6053523300097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47273.764061008776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5055.3226751104939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53826.501775748082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9900.2647248185931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6107.2258021224688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18872.379631685442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35343.945067602377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35350.132733055383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7666.5174962813971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7672.7051617344086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7666.5174962813971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7666.5174962813971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4950.1323624092965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4950.1323624092965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6806.4319983127825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4950.1323624092965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28605.577389272719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11738.001364363043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13482.92302211232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34879.870158626502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70694.07780065776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11985.507982483508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40343.57875363576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53826.501775748082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3036590.6334000002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67.28515625" customWidth="1"/>
    <col min="3" max="3" width="17.42578125" customWidth="1"/>
    <col min="4" max="4" width="11.5703125" customWidth="1"/>
    <col min="5" max="5" width="24.42578125" customWidth="1"/>
    <col min="6" max="6" width="9" customWidth="1"/>
    <col min="7" max="7" width="12.5703125" customWidth="1"/>
    <col min="8" max="24" width="9" customWidth="1"/>
  </cols>
  <sheetData>
    <row r="1" spans="1:26" ht="13.5" customHeight="1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28.5" customHeight="1" x14ac:dyDescent="0.25">
      <c r="A2" s="379" t="s">
        <v>280</v>
      </c>
      <c r="B2" s="374"/>
      <c r="C2" s="374"/>
      <c r="D2" s="375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28.5" customHeight="1" x14ac:dyDescent="0.25">
      <c r="A3" s="69"/>
      <c r="B3" s="70" t="s">
        <v>107</v>
      </c>
      <c r="C3" s="71" t="s">
        <v>108</v>
      </c>
      <c r="D3" s="72">
        <v>490749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28.5" customHeight="1" x14ac:dyDescent="0.25">
      <c r="A4" s="380" t="s">
        <v>109</v>
      </c>
      <c r="B4" s="375"/>
      <c r="C4" s="73" t="s">
        <v>110</v>
      </c>
      <c r="D4" s="74">
        <f>SUM(D6:D16)</f>
        <v>5.3563081247537685</v>
      </c>
      <c r="E4" s="68"/>
      <c r="F4" s="68"/>
      <c r="G4" s="75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28.5" customHeight="1" x14ac:dyDescent="0.25">
      <c r="A5" s="76" t="s">
        <v>33</v>
      </c>
      <c r="B5" s="77" t="s">
        <v>34</v>
      </c>
      <c r="C5" s="78" t="s">
        <v>111</v>
      </c>
      <c r="D5" s="79" t="s">
        <v>112</v>
      </c>
      <c r="E5" s="80"/>
      <c r="F5" s="68"/>
      <c r="G5" s="75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28.5" customHeight="1" x14ac:dyDescent="0.25">
      <c r="A6" s="81">
        <v>1</v>
      </c>
      <c r="B6" s="81" t="s">
        <v>113</v>
      </c>
      <c r="C6" s="82">
        <v>197561</v>
      </c>
      <c r="D6" s="83">
        <f>C6/D3</f>
        <v>0.40257035674041108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28.5" customHeight="1" x14ac:dyDescent="0.25">
      <c r="A7" s="81">
        <v>2</v>
      </c>
      <c r="B7" s="161" t="s">
        <v>114</v>
      </c>
      <c r="C7" s="82">
        <v>313903.64</v>
      </c>
      <c r="D7" s="83">
        <f>C7/D3</f>
        <v>0.6396419350829039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28.5" customHeight="1" x14ac:dyDescent="0.25">
      <c r="A8" s="81">
        <v>3</v>
      </c>
      <c r="B8" s="161" t="s">
        <v>115</v>
      </c>
      <c r="C8" s="82">
        <v>209224</v>
      </c>
      <c r="D8" s="83">
        <f>C8/D3</f>
        <v>0.42633606996652057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28.5" customHeight="1" x14ac:dyDescent="0.25">
      <c r="A9" s="81">
        <v>4</v>
      </c>
      <c r="B9" s="161" t="s">
        <v>116</v>
      </c>
      <c r="C9" s="82">
        <v>660344.44999999995</v>
      </c>
      <c r="D9" s="83">
        <f>C9/D3</f>
        <v>1.3455849120426122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28.5" customHeight="1" x14ac:dyDescent="0.25">
      <c r="A10" s="81">
        <v>5</v>
      </c>
      <c r="B10" s="161" t="s">
        <v>117</v>
      </c>
      <c r="C10" s="82">
        <f>45000+5000+6000</f>
        <v>56000</v>
      </c>
      <c r="D10" s="83">
        <f>C10/D3</f>
        <v>0.11411128703267862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28.5" customHeight="1" x14ac:dyDescent="0.25">
      <c r="A11" s="81">
        <v>6</v>
      </c>
      <c r="B11" s="161" t="s">
        <v>118</v>
      </c>
      <c r="C11" s="82">
        <v>12164</v>
      </c>
      <c r="D11" s="83">
        <f>C11/D3</f>
        <v>2.4786601704741121E-2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28.5" customHeight="1" x14ac:dyDescent="0.25">
      <c r="A12" s="81">
        <v>7</v>
      </c>
      <c r="B12" s="81" t="s">
        <v>119</v>
      </c>
      <c r="C12" s="82">
        <v>526913.85</v>
      </c>
      <c r="D12" s="83">
        <f>C12/D3</f>
        <v>1.0736931710507815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28.5" customHeight="1" x14ac:dyDescent="0.25">
      <c r="A13" s="81">
        <v>8</v>
      </c>
      <c r="B13" s="81" t="s">
        <v>120</v>
      </c>
      <c r="C13" s="82">
        <v>330345.91591478698</v>
      </c>
      <c r="D13" s="83">
        <f>C13/D3</f>
        <v>0.67314638626831025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28.5" customHeight="1" x14ac:dyDescent="0.25">
      <c r="A14" s="81">
        <v>9</v>
      </c>
      <c r="B14" s="81" t="s">
        <v>273</v>
      </c>
      <c r="C14" s="82"/>
      <c r="D14" s="83">
        <f>C14/D3</f>
        <v>0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28.5" customHeight="1" x14ac:dyDescent="0.25">
      <c r="A15" s="81">
        <v>10</v>
      </c>
      <c r="B15" s="81" t="s">
        <v>122</v>
      </c>
      <c r="C15" s="82">
        <v>297146</v>
      </c>
      <c r="D15" s="83">
        <f>C15/D3</f>
        <v>0.60549486601093427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28.5" customHeight="1" x14ac:dyDescent="0.25">
      <c r="A16" s="81">
        <v>11</v>
      </c>
      <c r="B16" s="161" t="s">
        <v>274</v>
      </c>
      <c r="C16" s="82">
        <v>25000</v>
      </c>
      <c r="D16" s="83">
        <f>C16/D3</f>
        <v>5.0942538853874383E-2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28.5" customHeight="1" x14ac:dyDescent="0.25">
      <c r="A17" s="81" t="s">
        <v>124</v>
      </c>
      <c r="B17" s="84" t="s">
        <v>51</v>
      </c>
      <c r="C17" s="82">
        <f>SUM(C6:C16)</f>
        <v>2628602.8559147869</v>
      </c>
      <c r="D17" s="81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28.5" customHeight="1" x14ac:dyDescent="0.25">
      <c r="A18" s="69">
        <v>12</v>
      </c>
      <c r="B18" s="69" t="s">
        <v>125</v>
      </c>
      <c r="C18" s="85">
        <f>C17*2%</f>
        <v>52572.057118295743</v>
      </c>
      <c r="D18" s="86">
        <f>C18/D3</f>
        <v>0.10712616249507537</v>
      </c>
      <c r="E18" s="80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28.5" customHeight="1" x14ac:dyDescent="0.25">
      <c r="A19" s="69">
        <v>13</v>
      </c>
      <c r="B19" s="69" t="s">
        <v>53</v>
      </c>
      <c r="C19" s="85">
        <v>490749</v>
      </c>
      <c r="D19" s="86">
        <f>C19/D3</f>
        <v>1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28.5" customHeight="1" x14ac:dyDescent="0.25">
      <c r="A20" s="87" t="s">
        <v>126</v>
      </c>
      <c r="B20" s="87" t="s">
        <v>55</v>
      </c>
      <c r="C20" s="88">
        <f>(C18+C19+C17)/D3</f>
        <v>6.4634342872488437</v>
      </c>
      <c r="D20" s="89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3.5" customHeight="1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3.5" customHeight="1" x14ac:dyDescent="0.2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3.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3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3.5" customHeight="1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3.5" customHeight="1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3.5" customHeight="1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3.5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3.5" customHeight="1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3.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3.5" customHeight="1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3.5" customHeight="1" x14ac:dyDescent="0.2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3.5" customHeight="1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3.5" customHeight="1" x14ac:dyDescent="0.2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3.5" customHeight="1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13.5" customHeight="1" x14ac:dyDescent="0.25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13.5" customHeight="1" x14ac:dyDescent="0.25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13.5" customHeight="1" x14ac:dyDescent="0.25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13.5" customHeight="1" x14ac:dyDescent="0.25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3.5" customHeight="1" x14ac:dyDescent="0.25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13.5" customHeight="1" x14ac:dyDescent="0.25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13.5" customHeight="1" x14ac:dyDescent="0.2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3.5" customHeight="1" x14ac:dyDescent="0.2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13.5" customHeight="1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3.5" customHeight="1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3.5" customHeight="1" x14ac:dyDescent="0.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3.5" customHeight="1" x14ac:dyDescent="0.2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3.5" customHeight="1" x14ac:dyDescent="0.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3.5" customHeight="1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3.5" customHeight="1" x14ac:dyDescent="0.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3.5" customHeight="1" x14ac:dyDescent="0.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3.5" customHeight="1" x14ac:dyDescent="0.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3.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3.5" customHeight="1" x14ac:dyDescent="0.2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3.5" customHeight="1" x14ac:dyDescent="0.2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13.5" customHeight="1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3.5" customHeight="1" x14ac:dyDescent="0.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3.5" customHeight="1" x14ac:dyDescent="0.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3.5" customHeight="1" x14ac:dyDescent="0.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3.5" customHeight="1" x14ac:dyDescent="0.2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3.5" customHeight="1" x14ac:dyDescent="0.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3.5" customHeight="1" x14ac:dyDescent="0.2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13.5" customHeight="1" x14ac:dyDescent="0.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3.5" customHeight="1" x14ac:dyDescent="0.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3.5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3.5" customHeight="1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3.5" customHeight="1" x14ac:dyDescent="0.2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3.5" customHeight="1" x14ac:dyDescent="0.2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3.5" customHeight="1" x14ac:dyDescent="0.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3.5" customHeight="1" x14ac:dyDescent="0.2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3.5" customHeight="1" x14ac:dyDescent="0.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3.5" customHeight="1" x14ac:dyDescent="0.2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3.5" customHeight="1" x14ac:dyDescent="0.2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13.5" customHeight="1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13.5" customHeight="1" x14ac:dyDescent="0.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3.5" customHeight="1" x14ac:dyDescent="0.2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3.5" customHeight="1" x14ac:dyDescent="0.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3.5" customHeight="1" x14ac:dyDescent="0.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13.5" customHeight="1" x14ac:dyDescent="0.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3.5" customHeight="1" x14ac:dyDescent="0.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3.5" customHeight="1" x14ac:dyDescent="0.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3.5" customHeight="1" x14ac:dyDescent="0.2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3.5" customHeight="1" x14ac:dyDescent="0.2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13.5" customHeight="1" x14ac:dyDescent="0.2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3.5" customHeight="1" x14ac:dyDescent="0.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3.5" customHeight="1" x14ac:dyDescent="0.2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3.5" customHeight="1" x14ac:dyDescent="0.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13.5" customHeight="1" x14ac:dyDescent="0.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3.5" customHeight="1" x14ac:dyDescent="0.2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3.5" customHeight="1" x14ac:dyDescent="0.2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3.5" customHeight="1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13.5" customHeight="1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3.5" customHeight="1" x14ac:dyDescent="0.2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13.5" customHeight="1" x14ac:dyDescent="0.2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3.5" customHeight="1" x14ac:dyDescent="0.2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3.5" customHeight="1" x14ac:dyDescent="0.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3.5" customHeight="1" x14ac:dyDescent="0.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13.5" customHeight="1" x14ac:dyDescent="0.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3.5" customHeight="1" x14ac:dyDescent="0.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3.5" customHeight="1" x14ac:dyDescent="0.2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3.5" customHeight="1" x14ac:dyDescent="0.2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3.5" customHeight="1" x14ac:dyDescent="0.2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3.5" customHeight="1" x14ac:dyDescent="0.2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3.5" customHeight="1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3.5" customHeight="1" x14ac:dyDescent="0.2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3.5" customHeight="1" x14ac:dyDescent="0.2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3.5" customHeight="1" x14ac:dyDescent="0.2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3.5" customHeight="1" x14ac:dyDescent="0.2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3.5" customHeight="1" x14ac:dyDescent="0.2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3.5" customHeight="1" x14ac:dyDescent="0.2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3.5" customHeight="1" x14ac:dyDescent="0.2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3.5" customHeight="1" x14ac:dyDescent="0.2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3.5" customHeight="1" x14ac:dyDescent="0.2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3.5" customHeight="1" x14ac:dyDescent="0.2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3.5" customHeight="1" x14ac:dyDescent="0.2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3.5" customHeight="1" x14ac:dyDescent="0.2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3.5" customHeight="1" x14ac:dyDescent="0.2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3.5" customHeight="1" x14ac:dyDescent="0.2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3.5" customHeight="1" x14ac:dyDescent="0.2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3.5" customHeight="1" x14ac:dyDescent="0.2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3.5" customHeight="1" x14ac:dyDescent="0.2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3.5" customHeight="1" x14ac:dyDescent="0.2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3.5" customHeight="1" x14ac:dyDescent="0.2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3.5" customHeight="1" x14ac:dyDescent="0.2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3.5" customHeight="1" x14ac:dyDescent="0.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3.5" customHeight="1" x14ac:dyDescent="0.2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3.5" customHeight="1" x14ac:dyDescent="0.2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3.5" customHeight="1" x14ac:dyDescent="0.2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3.5" customHeight="1" x14ac:dyDescent="0.2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3.5" customHeight="1" x14ac:dyDescent="0.2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3.5" customHeight="1" x14ac:dyDescent="0.2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3.5" customHeight="1" x14ac:dyDescent="0.2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3.5" customHeight="1" x14ac:dyDescent="0.2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3.5" customHeight="1" x14ac:dyDescent="0.2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3.5" customHeight="1" x14ac:dyDescent="0.2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3.5" customHeight="1" x14ac:dyDescent="0.2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3.5" customHeight="1" x14ac:dyDescent="0.2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3.5" customHeight="1" x14ac:dyDescent="0.2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3.5" customHeight="1" x14ac:dyDescent="0.2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3.5" customHeight="1" x14ac:dyDescent="0.2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3.5" customHeight="1" x14ac:dyDescent="0.2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3.5" customHeight="1" x14ac:dyDescent="0.2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3.5" customHeight="1" x14ac:dyDescent="0.2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13.5" customHeight="1" x14ac:dyDescent="0.2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3.5" customHeight="1" x14ac:dyDescent="0.2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3.5" customHeight="1" x14ac:dyDescent="0.2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3.5" customHeight="1" x14ac:dyDescent="0.25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3.5" customHeight="1" x14ac:dyDescent="0.2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3.5" customHeight="1" x14ac:dyDescent="0.2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3.5" customHeight="1" x14ac:dyDescent="0.2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3.5" customHeight="1" x14ac:dyDescent="0.25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3.5" customHeight="1" x14ac:dyDescent="0.25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3.5" customHeight="1" x14ac:dyDescent="0.25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3.5" customHeight="1" x14ac:dyDescent="0.25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3.5" customHeight="1" x14ac:dyDescent="0.2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3.5" customHeight="1" x14ac:dyDescent="0.25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3.5" customHeight="1" x14ac:dyDescent="0.2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3.5" customHeight="1" x14ac:dyDescent="0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3.5" customHeight="1" x14ac:dyDescent="0.25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3.5" customHeight="1" x14ac:dyDescent="0.25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3.5" customHeight="1" x14ac:dyDescent="0.25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3.5" customHeight="1" x14ac:dyDescent="0.25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3.5" customHeight="1" x14ac:dyDescent="0.25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3.5" customHeight="1" x14ac:dyDescent="0.2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3.5" customHeight="1" x14ac:dyDescent="0.2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3.5" customHeight="1" x14ac:dyDescent="0.2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3.5" customHeight="1" x14ac:dyDescent="0.2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3.5" customHeight="1" x14ac:dyDescent="0.2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3.5" customHeight="1" x14ac:dyDescent="0.2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3.5" customHeight="1" x14ac:dyDescent="0.2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3.5" customHeight="1" x14ac:dyDescent="0.2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3.5" customHeight="1" x14ac:dyDescent="0.2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3.5" customHeight="1" x14ac:dyDescent="0.2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3.5" customHeight="1" x14ac:dyDescent="0.2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3.5" customHeight="1" x14ac:dyDescent="0.2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3.5" customHeight="1" x14ac:dyDescent="0.2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3.5" customHeight="1" x14ac:dyDescent="0.2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3.5" customHeight="1" x14ac:dyDescent="0.2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3.5" customHeight="1" x14ac:dyDescent="0.2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3.5" customHeight="1" x14ac:dyDescent="0.2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3.5" customHeight="1" x14ac:dyDescent="0.2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3.5" customHeight="1" x14ac:dyDescent="0.2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3.5" customHeight="1" x14ac:dyDescent="0.2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3.5" customHeight="1" x14ac:dyDescent="0.2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3.5" customHeight="1" x14ac:dyDescent="0.2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3.5" customHeight="1" x14ac:dyDescent="0.2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3.5" customHeight="1" x14ac:dyDescent="0.2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3.5" customHeight="1" x14ac:dyDescent="0.2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3.5" customHeight="1" x14ac:dyDescent="0.2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3.5" customHeight="1" x14ac:dyDescent="0.25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3.5" customHeight="1" x14ac:dyDescent="0.25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3.5" customHeight="1" x14ac:dyDescent="0.25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3.5" customHeight="1" x14ac:dyDescent="0.25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3.5" customHeight="1" x14ac:dyDescent="0.2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3.5" customHeight="1" x14ac:dyDescent="0.2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3.5" customHeight="1" x14ac:dyDescent="0.25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3.5" customHeight="1" x14ac:dyDescent="0.25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3.5" customHeight="1" x14ac:dyDescent="0.25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3.5" customHeight="1" x14ac:dyDescent="0.25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3.5" customHeight="1" x14ac:dyDescent="0.25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3.5" customHeight="1" x14ac:dyDescent="0.25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3.5" customHeight="1" x14ac:dyDescent="0.25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3.5" customHeight="1" x14ac:dyDescent="0.25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3.5" customHeight="1" x14ac:dyDescent="0.25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3.5" customHeight="1" x14ac:dyDescent="0.2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3.5" customHeight="1" x14ac:dyDescent="0.25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3.5" customHeight="1" x14ac:dyDescent="0.25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3.5" customHeight="1" x14ac:dyDescent="0.25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3.5" customHeight="1" x14ac:dyDescent="0.25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3.5" customHeight="1" x14ac:dyDescent="0.25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3.5" customHeight="1" x14ac:dyDescent="0.2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3.5" customHeight="1" x14ac:dyDescent="0.25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3.5" customHeight="1" x14ac:dyDescent="0.25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3.5" customHeight="1" x14ac:dyDescent="0.25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3.5" customHeight="1" x14ac:dyDescent="0.2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3.5" customHeight="1" x14ac:dyDescent="0.25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3.5" customHeight="1" x14ac:dyDescent="0.25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3.5" customHeight="1" x14ac:dyDescent="0.25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3.5" customHeight="1" x14ac:dyDescent="0.25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3.5" customHeight="1" x14ac:dyDescent="0.2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:D2"/>
    <mergeCell ref="A4:B4"/>
  </mergeCells>
  <hyperlinks>
    <hyperlink ref="B7" location="null!A1" display="Technical manpower" xr:uid="{00000000-0004-0000-0B00-000000000000}"/>
    <hyperlink ref="B8" location="null!A1" display="HK Manpower" xr:uid="{00000000-0004-0000-0B00-000001000000}"/>
    <hyperlink ref="B9" location="null!A1" display="LP Manpower -Security Services " xr:uid="{00000000-0004-0000-0B00-000002000000}"/>
    <hyperlink ref="B10" location="null!A1" display="AMC" xr:uid="{00000000-0004-0000-0B00-000003000000}"/>
    <hyperlink ref="B11" location="null!A1" display="Consumables" xr:uid="{00000000-0004-0000-0B00-000004000000}"/>
    <hyperlink ref="B16" location="null!A1" display="Liosaning &amp; Licenses" xr:uid="{00000000-0004-0000-0B00-000005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28515625" customWidth="1"/>
    <col min="7" max="7" width="10.5703125" customWidth="1"/>
    <col min="8" max="8" width="9.28515625" customWidth="1"/>
    <col min="9" max="26" width="12.42578125" customWidth="1"/>
  </cols>
  <sheetData>
    <row r="1" spans="1:26" x14ac:dyDescent="0.25">
      <c r="A1" s="381" t="s">
        <v>279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'CAM-Oct`23'!C20</f>
        <v>6.4634342872488437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21400.43092508092</v>
      </c>
      <c r="G5" s="110">
        <f>C5*65%</f>
        <v>2152.15</v>
      </c>
      <c r="H5" s="111">
        <f>F5/G5</f>
        <v>9.9437450573059127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24664.465240141588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24651.538371567091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23578.608279883782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22208.360210987026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17599.931564178602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8926.0027506906536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4879.8928868728772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43466.595581748472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49677.955931794611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62785.800666335264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61493.1138088855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C24*F2</f>
        <v>1082974.2685656927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115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109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128">
        <f>C30*F2</f>
        <v>12926.868574497688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130">
        <f>C31*F2</f>
        <v>3794.0359266150713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130">
        <f>C32*F2</f>
        <v>19713.474576108973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115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109">
        <f>C34*F2</f>
        <v>73844.736731818033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109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130">
        <f>C36*F2</f>
        <v>13935.164323308507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130">
        <f>C37*F2</f>
        <v>13398.699277466852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130">
        <f>C38*F2</f>
        <v>18918.472158777364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130">
        <f>C39*F2</f>
        <v>8408.9280077107451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115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109">
        <f>C41*F2</f>
        <v>56225.414864777689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115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115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13579.675437509821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73844.736731818033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54661.263767263474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56225.414864777689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36434.379077221733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73844.736731818033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134">
        <f>C57*F2</f>
        <v>25575.809474643676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134">
        <f>C58*F2</f>
        <v>9695.1514308732658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134">
        <f>C59*F2</f>
        <v>9695.1514308732658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134">
        <f>C60*F2</f>
        <v>9695.1514308732658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15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56225.414864777689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15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15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36434.379077221733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19390.302861746532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6463.4342872488442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22137.262433827291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6463.4342872488442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12926.868574497688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6463.4342872488442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14865.898860672341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6463.4342872488442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7452.3397331979168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7445.8762989106681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7445.8762989106681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5493.9191441615176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5493.9191441615176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56225.414864777689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16720.90450111276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19713.474576108973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19571.279021789498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17347.857626975896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19571.279021789498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17354.321061263145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54661.263767263474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56225.414864777689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13579.675437509821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72170.707251420594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1674.0294803974505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49380.637954581165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5280.625812682305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56225.414864777689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10341.49485959815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6379.4096415146087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19713.474576108973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36919.136648765394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36925.600083052646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8008.1950819013173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8014.658516188566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8008.1950819013173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8008.1950819013173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5170.7474297990748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5170.7474297990748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7109.7777159737279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5170.7474297990748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29880.456709951406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12261.134842911057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14083.82331191523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36434.379077221733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73844.736731818033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12519.672214401011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42141.591552862461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56225.414864777689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3171923.9130330803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67.28515625" customWidth="1"/>
    <col min="3" max="3" width="17.42578125" customWidth="1"/>
    <col min="4" max="4" width="11.5703125" customWidth="1"/>
    <col min="5" max="5" width="28.28515625" customWidth="1"/>
    <col min="6" max="6" width="9" customWidth="1"/>
    <col min="7" max="7" width="12.5703125" customWidth="1"/>
    <col min="8" max="25" width="9" customWidth="1"/>
  </cols>
  <sheetData>
    <row r="1" spans="1:26" ht="13.5" customHeight="1" x14ac:dyDescent="0.25">
      <c r="A1" s="68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28.5" customHeight="1" x14ac:dyDescent="0.25">
      <c r="A2" s="379" t="s">
        <v>282</v>
      </c>
      <c r="B2" s="374"/>
      <c r="C2" s="374"/>
      <c r="D2" s="375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28.5" customHeight="1" x14ac:dyDescent="0.25">
      <c r="A3" s="69"/>
      <c r="B3" s="70" t="s">
        <v>107</v>
      </c>
      <c r="C3" s="71" t="s">
        <v>108</v>
      </c>
      <c r="D3" s="72">
        <v>490749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28.5" customHeight="1" x14ac:dyDescent="0.25">
      <c r="A4" s="380" t="s">
        <v>109</v>
      </c>
      <c r="B4" s="375"/>
      <c r="C4" s="73" t="s">
        <v>110</v>
      </c>
      <c r="D4" s="74">
        <f>SUM(D6:D16)</f>
        <v>5.5546481626773971</v>
      </c>
      <c r="E4" s="68"/>
      <c r="F4" s="68"/>
      <c r="G4" s="75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28.5" customHeight="1" x14ac:dyDescent="0.25">
      <c r="A5" s="76" t="s">
        <v>33</v>
      </c>
      <c r="B5" s="77" t="s">
        <v>34</v>
      </c>
      <c r="C5" s="78" t="s">
        <v>111</v>
      </c>
      <c r="D5" s="79" t="s">
        <v>112</v>
      </c>
      <c r="E5" s="80"/>
      <c r="F5" s="68"/>
      <c r="G5" s="75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28.5" customHeight="1" x14ac:dyDescent="0.25">
      <c r="A6" s="81">
        <v>1</v>
      </c>
      <c r="B6" s="81" t="s">
        <v>113</v>
      </c>
      <c r="C6" s="82">
        <v>234758</v>
      </c>
      <c r="D6" s="83">
        <f>C6/D3</f>
        <v>0.47836674145031371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28.5" customHeight="1" x14ac:dyDescent="0.25">
      <c r="A7" s="81">
        <v>2</v>
      </c>
      <c r="B7" s="161" t="s">
        <v>114</v>
      </c>
      <c r="C7" s="82">
        <v>315254.99</v>
      </c>
      <c r="D7" s="83">
        <f>C7/D3</f>
        <v>0.64239558307811118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28.5" customHeight="1" x14ac:dyDescent="0.25">
      <c r="A8" s="81">
        <v>3</v>
      </c>
      <c r="B8" s="161" t="s">
        <v>115</v>
      </c>
      <c r="C8" s="82">
        <v>223858</v>
      </c>
      <c r="D8" s="83">
        <f>C8/D3</f>
        <v>0.45615579451002447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28.5" customHeight="1" x14ac:dyDescent="0.25">
      <c r="A9" s="81">
        <v>4</v>
      </c>
      <c r="B9" s="161" t="s">
        <v>116</v>
      </c>
      <c r="C9" s="82">
        <v>637994.43999999994</v>
      </c>
      <c r="D9" s="83">
        <f>C9/D3</f>
        <v>1.300042261930233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28.5" customHeight="1" x14ac:dyDescent="0.25">
      <c r="A10" s="81">
        <v>5</v>
      </c>
      <c r="B10" s="161" t="s">
        <v>117</v>
      </c>
      <c r="C10" s="82">
        <f>45000+5000+6000</f>
        <v>56000</v>
      </c>
      <c r="D10" s="83">
        <f>C10/D3</f>
        <v>0.11411128703267862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28.5" customHeight="1" x14ac:dyDescent="0.25">
      <c r="A11" s="81">
        <v>6</v>
      </c>
      <c r="B11" s="161" t="s">
        <v>118</v>
      </c>
      <c r="C11" s="82">
        <v>24951</v>
      </c>
      <c r="D11" s="83">
        <f>C11/D3</f>
        <v>5.0842691477720789E-2</v>
      </c>
      <c r="E11" s="68" t="s">
        <v>283</v>
      </c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28.5" customHeight="1" x14ac:dyDescent="0.25">
      <c r="A12" s="81">
        <v>7</v>
      </c>
      <c r="B12" s="81" t="s">
        <v>119</v>
      </c>
      <c r="C12" s="82">
        <v>789696.42341472174</v>
      </c>
      <c r="D12" s="83">
        <f>C12/D3</f>
        <v>1.609165629302804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28.5" customHeight="1" x14ac:dyDescent="0.25">
      <c r="A13" s="81">
        <v>8</v>
      </c>
      <c r="B13" s="81" t="s">
        <v>120</v>
      </c>
      <c r="C13" s="82">
        <v>284579.17777104786</v>
      </c>
      <c r="D13" s="83">
        <f>C13/D3</f>
        <v>0.57988743282420929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28.5" customHeight="1" x14ac:dyDescent="0.25">
      <c r="A14" s="81">
        <v>9</v>
      </c>
      <c r="B14" s="81" t="s">
        <v>273</v>
      </c>
      <c r="C14" s="82">
        <v>44000</v>
      </c>
      <c r="D14" s="83">
        <f>C14/D3</f>
        <v>8.9658868382818918E-2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28.5" customHeight="1" x14ac:dyDescent="0.25">
      <c r="A15" s="81">
        <v>10</v>
      </c>
      <c r="B15" s="81" t="s">
        <v>122</v>
      </c>
      <c r="C15" s="82">
        <f>16666+46930</f>
        <v>63596</v>
      </c>
      <c r="D15" s="83">
        <f>C15/D3</f>
        <v>0.12958966803803981</v>
      </c>
      <c r="E15" s="80" t="s">
        <v>284</v>
      </c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28.5" customHeight="1" x14ac:dyDescent="0.25">
      <c r="A16" s="81">
        <v>11</v>
      </c>
      <c r="B16" s="161" t="s">
        <v>274</v>
      </c>
      <c r="C16" s="82">
        <f>26250+25000</f>
        <v>51250</v>
      </c>
      <c r="D16" s="83">
        <f>C16/D3</f>
        <v>0.10443220465044249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28.5" customHeight="1" x14ac:dyDescent="0.25">
      <c r="A17" s="81" t="s">
        <v>124</v>
      </c>
      <c r="B17" s="84" t="s">
        <v>51</v>
      </c>
      <c r="C17" s="82">
        <f>SUM(C6:C16)</f>
        <v>2725938.0311857695</v>
      </c>
      <c r="D17" s="81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28.5" customHeight="1" x14ac:dyDescent="0.25">
      <c r="A18" s="69">
        <v>12</v>
      </c>
      <c r="B18" s="69" t="s">
        <v>125</v>
      </c>
      <c r="C18" s="85">
        <f>C17*2%</f>
        <v>54518.760623715389</v>
      </c>
      <c r="D18" s="86">
        <f>C18/D3</f>
        <v>0.11109296325354792</v>
      </c>
      <c r="E18" s="80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28.5" customHeight="1" x14ac:dyDescent="0.25">
      <c r="A19" s="69">
        <v>13</v>
      </c>
      <c r="B19" s="69" t="s">
        <v>53</v>
      </c>
      <c r="C19" s="85">
        <v>490749</v>
      </c>
      <c r="D19" s="86">
        <f>C19/D3</f>
        <v>1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28.5" customHeight="1" x14ac:dyDescent="0.25">
      <c r="A20" s="87" t="s">
        <v>126</v>
      </c>
      <c r="B20" s="87" t="s">
        <v>55</v>
      </c>
      <c r="C20" s="88">
        <f>(C18+C19+C17)/D3</f>
        <v>6.6657411259309436</v>
      </c>
      <c r="D20" s="89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3.5" customHeight="1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3.5" customHeight="1" x14ac:dyDescent="0.2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3.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3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3.5" customHeight="1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3.5" customHeight="1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3.5" customHeight="1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3.5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3.5" customHeight="1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3.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3.5" customHeight="1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3.5" customHeight="1" x14ac:dyDescent="0.2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3.5" customHeight="1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3.5" customHeight="1" x14ac:dyDescent="0.2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3.5" customHeight="1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13.5" customHeight="1" x14ac:dyDescent="0.25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13.5" customHeight="1" x14ac:dyDescent="0.25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13.5" customHeight="1" x14ac:dyDescent="0.25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13.5" customHeight="1" x14ac:dyDescent="0.25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3.5" customHeight="1" x14ac:dyDescent="0.25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13.5" customHeight="1" x14ac:dyDescent="0.25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13.5" customHeight="1" x14ac:dyDescent="0.2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3.5" customHeight="1" x14ac:dyDescent="0.2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13.5" customHeight="1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3.5" customHeight="1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3.5" customHeight="1" x14ac:dyDescent="0.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3.5" customHeight="1" x14ac:dyDescent="0.2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3.5" customHeight="1" x14ac:dyDescent="0.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3.5" customHeight="1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3.5" customHeight="1" x14ac:dyDescent="0.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3.5" customHeight="1" x14ac:dyDescent="0.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3.5" customHeight="1" x14ac:dyDescent="0.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3.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3.5" customHeight="1" x14ac:dyDescent="0.2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3.5" customHeight="1" x14ac:dyDescent="0.2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13.5" customHeight="1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3.5" customHeight="1" x14ac:dyDescent="0.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3.5" customHeight="1" x14ac:dyDescent="0.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3.5" customHeight="1" x14ac:dyDescent="0.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3.5" customHeight="1" x14ac:dyDescent="0.2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3.5" customHeight="1" x14ac:dyDescent="0.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3.5" customHeight="1" x14ac:dyDescent="0.2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13.5" customHeight="1" x14ac:dyDescent="0.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3.5" customHeight="1" x14ac:dyDescent="0.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3.5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3.5" customHeight="1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3.5" customHeight="1" x14ac:dyDescent="0.2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3.5" customHeight="1" x14ac:dyDescent="0.2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3.5" customHeight="1" x14ac:dyDescent="0.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3.5" customHeight="1" x14ac:dyDescent="0.2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3.5" customHeight="1" x14ac:dyDescent="0.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3.5" customHeight="1" x14ac:dyDescent="0.2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3.5" customHeight="1" x14ac:dyDescent="0.2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13.5" customHeight="1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13.5" customHeight="1" x14ac:dyDescent="0.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3.5" customHeight="1" x14ac:dyDescent="0.2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3.5" customHeight="1" x14ac:dyDescent="0.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3.5" customHeight="1" x14ac:dyDescent="0.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13.5" customHeight="1" x14ac:dyDescent="0.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3.5" customHeight="1" x14ac:dyDescent="0.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3.5" customHeight="1" x14ac:dyDescent="0.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3.5" customHeight="1" x14ac:dyDescent="0.2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3.5" customHeight="1" x14ac:dyDescent="0.2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13.5" customHeight="1" x14ac:dyDescent="0.2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3.5" customHeight="1" x14ac:dyDescent="0.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3.5" customHeight="1" x14ac:dyDescent="0.2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3.5" customHeight="1" x14ac:dyDescent="0.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13.5" customHeight="1" x14ac:dyDescent="0.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3.5" customHeight="1" x14ac:dyDescent="0.2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3.5" customHeight="1" x14ac:dyDescent="0.2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3.5" customHeight="1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13.5" customHeight="1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3.5" customHeight="1" x14ac:dyDescent="0.2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13.5" customHeight="1" x14ac:dyDescent="0.2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3.5" customHeight="1" x14ac:dyDescent="0.2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3.5" customHeight="1" x14ac:dyDescent="0.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3.5" customHeight="1" x14ac:dyDescent="0.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13.5" customHeight="1" x14ac:dyDescent="0.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3.5" customHeight="1" x14ac:dyDescent="0.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3.5" customHeight="1" x14ac:dyDescent="0.2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3.5" customHeight="1" x14ac:dyDescent="0.2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3.5" customHeight="1" x14ac:dyDescent="0.2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3.5" customHeight="1" x14ac:dyDescent="0.2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3.5" customHeight="1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3.5" customHeight="1" x14ac:dyDescent="0.2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3.5" customHeight="1" x14ac:dyDescent="0.2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3.5" customHeight="1" x14ac:dyDescent="0.2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3.5" customHeight="1" x14ac:dyDescent="0.2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3.5" customHeight="1" x14ac:dyDescent="0.2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3.5" customHeight="1" x14ac:dyDescent="0.2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3.5" customHeight="1" x14ac:dyDescent="0.2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3.5" customHeight="1" x14ac:dyDescent="0.2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3.5" customHeight="1" x14ac:dyDescent="0.2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3.5" customHeight="1" x14ac:dyDescent="0.2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3.5" customHeight="1" x14ac:dyDescent="0.2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3.5" customHeight="1" x14ac:dyDescent="0.2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3.5" customHeight="1" x14ac:dyDescent="0.2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3.5" customHeight="1" x14ac:dyDescent="0.2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3.5" customHeight="1" x14ac:dyDescent="0.2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3.5" customHeight="1" x14ac:dyDescent="0.2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3.5" customHeight="1" x14ac:dyDescent="0.2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3.5" customHeight="1" x14ac:dyDescent="0.2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3.5" customHeight="1" x14ac:dyDescent="0.2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3.5" customHeight="1" x14ac:dyDescent="0.2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3.5" customHeight="1" x14ac:dyDescent="0.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3.5" customHeight="1" x14ac:dyDescent="0.2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3.5" customHeight="1" x14ac:dyDescent="0.2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3.5" customHeight="1" x14ac:dyDescent="0.2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3.5" customHeight="1" x14ac:dyDescent="0.2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3.5" customHeight="1" x14ac:dyDescent="0.2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3.5" customHeight="1" x14ac:dyDescent="0.2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3.5" customHeight="1" x14ac:dyDescent="0.2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3.5" customHeight="1" x14ac:dyDescent="0.2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3.5" customHeight="1" x14ac:dyDescent="0.2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3.5" customHeight="1" x14ac:dyDescent="0.2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3.5" customHeight="1" x14ac:dyDescent="0.2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3.5" customHeight="1" x14ac:dyDescent="0.2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3.5" customHeight="1" x14ac:dyDescent="0.2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3.5" customHeight="1" x14ac:dyDescent="0.2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3.5" customHeight="1" x14ac:dyDescent="0.2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3.5" customHeight="1" x14ac:dyDescent="0.2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3.5" customHeight="1" x14ac:dyDescent="0.2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3.5" customHeight="1" x14ac:dyDescent="0.2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13.5" customHeight="1" x14ac:dyDescent="0.2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3.5" customHeight="1" x14ac:dyDescent="0.2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3.5" customHeight="1" x14ac:dyDescent="0.2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3.5" customHeight="1" x14ac:dyDescent="0.25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3.5" customHeight="1" x14ac:dyDescent="0.2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3.5" customHeight="1" x14ac:dyDescent="0.2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3.5" customHeight="1" x14ac:dyDescent="0.2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3.5" customHeight="1" x14ac:dyDescent="0.25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3.5" customHeight="1" x14ac:dyDescent="0.25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3.5" customHeight="1" x14ac:dyDescent="0.25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3.5" customHeight="1" x14ac:dyDescent="0.25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3.5" customHeight="1" x14ac:dyDescent="0.2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3.5" customHeight="1" x14ac:dyDescent="0.25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3.5" customHeight="1" x14ac:dyDescent="0.2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3.5" customHeight="1" x14ac:dyDescent="0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3.5" customHeight="1" x14ac:dyDescent="0.25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3.5" customHeight="1" x14ac:dyDescent="0.25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3.5" customHeight="1" x14ac:dyDescent="0.25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3.5" customHeight="1" x14ac:dyDescent="0.25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3.5" customHeight="1" x14ac:dyDescent="0.25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3.5" customHeight="1" x14ac:dyDescent="0.2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3.5" customHeight="1" x14ac:dyDescent="0.2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3.5" customHeight="1" x14ac:dyDescent="0.2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3.5" customHeight="1" x14ac:dyDescent="0.2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3.5" customHeight="1" x14ac:dyDescent="0.2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3.5" customHeight="1" x14ac:dyDescent="0.2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3.5" customHeight="1" x14ac:dyDescent="0.2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3.5" customHeight="1" x14ac:dyDescent="0.2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3.5" customHeight="1" x14ac:dyDescent="0.2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3.5" customHeight="1" x14ac:dyDescent="0.2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3.5" customHeight="1" x14ac:dyDescent="0.2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3.5" customHeight="1" x14ac:dyDescent="0.2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3.5" customHeight="1" x14ac:dyDescent="0.2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3.5" customHeight="1" x14ac:dyDescent="0.2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3.5" customHeight="1" x14ac:dyDescent="0.2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3.5" customHeight="1" x14ac:dyDescent="0.2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3.5" customHeight="1" x14ac:dyDescent="0.2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3.5" customHeight="1" x14ac:dyDescent="0.2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3.5" customHeight="1" x14ac:dyDescent="0.2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3.5" customHeight="1" x14ac:dyDescent="0.2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3.5" customHeight="1" x14ac:dyDescent="0.2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3.5" customHeight="1" x14ac:dyDescent="0.2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3.5" customHeight="1" x14ac:dyDescent="0.2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3.5" customHeight="1" x14ac:dyDescent="0.2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3.5" customHeight="1" x14ac:dyDescent="0.2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3.5" customHeight="1" x14ac:dyDescent="0.2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3.5" customHeight="1" x14ac:dyDescent="0.25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3.5" customHeight="1" x14ac:dyDescent="0.25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3.5" customHeight="1" x14ac:dyDescent="0.25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3.5" customHeight="1" x14ac:dyDescent="0.25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3.5" customHeight="1" x14ac:dyDescent="0.2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3.5" customHeight="1" x14ac:dyDescent="0.2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3.5" customHeight="1" x14ac:dyDescent="0.25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3.5" customHeight="1" x14ac:dyDescent="0.25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3.5" customHeight="1" x14ac:dyDescent="0.25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3.5" customHeight="1" x14ac:dyDescent="0.25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3.5" customHeight="1" x14ac:dyDescent="0.25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3.5" customHeight="1" x14ac:dyDescent="0.25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3.5" customHeight="1" x14ac:dyDescent="0.25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3.5" customHeight="1" x14ac:dyDescent="0.25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3.5" customHeight="1" x14ac:dyDescent="0.25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3.5" customHeight="1" x14ac:dyDescent="0.2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3.5" customHeight="1" x14ac:dyDescent="0.25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3.5" customHeight="1" x14ac:dyDescent="0.25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3.5" customHeight="1" x14ac:dyDescent="0.25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3.5" customHeight="1" x14ac:dyDescent="0.25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3.5" customHeight="1" x14ac:dyDescent="0.25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3.5" customHeight="1" x14ac:dyDescent="0.2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3.5" customHeight="1" x14ac:dyDescent="0.25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3.5" customHeight="1" x14ac:dyDescent="0.25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3.5" customHeight="1" x14ac:dyDescent="0.25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3.5" customHeight="1" x14ac:dyDescent="0.2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3.5" customHeight="1" x14ac:dyDescent="0.25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3.5" customHeight="1" x14ac:dyDescent="0.25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3.5" customHeight="1" x14ac:dyDescent="0.25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3.5" customHeight="1" x14ac:dyDescent="0.25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3.5" customHeight="1" x14ac:dyDescent="0.2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:D2"/>
    <mergeCell ref="A4:B4"/>
  </mergeCells>
  <hyperlinks>
    <hyperlink ref="B7" location="null!A1" display="Technical manpower" xr:uid="{00000000-0004-0000-0D00-000000000000}"/>
    <hyperlink ref="B8" location="null!A1" display="HK Manpower" xr:uid="{00000000-0004-0000-0D00-000001000000}"/>
    <hyperlink ref="B9" location="null!A1" display="LP Manpower -Security Services " xr:uid="{00000000-0004-0000-0D00-000002000000}"/>
    <hyperlink ref="B10" location="null!A1" display="AMC" xr:uid="{00000000-0004-0000-0D00-000003000000}"/>
    <hyperlink ref="B11" location="null!A1" display="Consumables" xr:uid="{00000000-0004-0000-0D00-000004000000}"/>
    <hyperlink ref="B16" location="null!A1" display="Liosaning &amp; Licenses" xr:uid="{00000000-0004-0000-0D00-000005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28515625" customWidth="1"/>
    <col min="7" max="7" width="10.5703125" customWidth="1"/>
    <col min="8" max="8" width="9.28515625" customWidth="1"/>
    <col min="9" max="26" width="12.42578125" customWidth="1"/>
  </cols>
  <sheetData>
    <row r="1" spans="1:26" x14ac:dyDescent="0.25">
      <c r="A1" s="381" t="s">
        <v>285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'CAM-Nov`23'!C20</f>
        <v>6.6657411259309436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22070.268867957355</v>
      </c>
      <c r="G5" s="110">
        <f>C5*65%</f>
        <v>2152.15</v>
      </c>
      <c r="H5" s="111">
        <f>F5/G5</f>
        <v>10.254986347586067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25436.468136552481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25423.136654300619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24316.623627396082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22903.486508698723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18150.813085909958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9205.3884949106323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5032.6345500778625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44827.109071885592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51232.886293905234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64751.009297293189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63417.861072107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C24*F2</f>
        <v>1116871.5886142333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115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109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128">
        <f>C30*F2</f>
        <v>13331.482251861888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130">
        <f>C31*F2</f>
        <v>3912.790040921464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130">
        <f>C32*F2</f>
        <v>20330.510434089378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115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109">
        <f>C34*F2</f>
        <v>76156.092363761025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109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130">
        <f>C36*F2</f>
        <v>14371.337867507114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130">
        <f>C37*F2</f>
        <v>13818.081354054846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130">
        <f>C38*F2</f>
        <v>19510.624275599872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130">
        <f>C39*F2</f>
        <v>8672.1292048361574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115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109">
        <f>C41*F2</f>
        <v>57985.282054473275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115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115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14004.722105580913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76156.092363761025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56372.172701997988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57985.282054473275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37574.782726872727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76156.092363761025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134">
        <f>C57*F2</f>
        <v>26376.337635308744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134">
        <f>C58*F2</f>
        <v>9998.6116888964152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134">
        <f>C59*F2</f>
        <v>9998.6116888964152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134">
        <f>C60*F2</f>
        <v>9998.6116888964152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15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57985.282054473275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15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15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37574.782726872727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19997.22337779283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6665.7411259309438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22830.163356313482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6665.7411259309438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13331.482251861888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6665.7411259309438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15331.204589641171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6665.7411259309438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7685.5995181983781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7678.9337770724469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7678.9337770724469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5665.8799570413021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5665.8799570413021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57985.282054473275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17244.272292783349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20330.510434089378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20183.864129318896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17890.849181998652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20183.864129318896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17897.514923124585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56372.172701997988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57985.282054473275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14004.722105580913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74429.66541214491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1726.4269516161144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50926.262202112412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5445.910499885581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57985.282054473275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10665.18580148951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6579.0864912938414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20330.510434089378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38074.713311317551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38081.379052443481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8258.8532550284399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8265.5189961543692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8258.8532550284399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8258.8532550284399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5332.5929007447548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5332.5929007447548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7332.3152385240383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5332.5929007447548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30815.721225178753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12644.910915891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14524.649913403526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37574.782726872727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76156.092363761025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12911.540560928237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43460.632141069749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57985.282054473275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3271205.791809483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67.28515625" customWidth="1"/>
    <col min="3" max="3" width="17.42578125" customWidth="1"/>
    <col min="4" max="4" width="11.5703125" customWidth="1"/>
    <col min="5" max="5" width="24.42578125" customWidth="1"/>
    <col min="6" max="6" width="9" customWidth="1"/>
    <col min="7" max="7" width="12.5703125" customWidth="1"/>
    <col min="8" max="25" width="9" customWidth="1"/>
  </cols>
  <sheetData>
    <row r="1" spans="1:26" ht="13.5" customHeight="1" x14ac:dyDescent="0.25">
      <c r="A1" s="68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28.5" customHeight="1" x14ac:dyDescent="0.25">
      <c r="A2" s="379" t="s">
        <v>286</v>
      </c>
      <c r="B2" s="374"/>
      <c r="C2" s="374"/>
      <c r="D2" s="375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28.5" customHeight="1" x14ac:dyDescent="0.25">
      <c r="A3" s="69"/>
      <c r="B3" s="70" t="s">
        <v>107</v>
      </c>
      <c r="C3" s="71" t="s">
        <v>108</v>
      </c>
      <c r="D3" s="72">
        <v>490749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28.5" customHeight="1" x14ac:dyDescent="0.25">
      <c r="A4" s="380" t="s">
        <v>109</v>
      </c>
      <c r="B4" s="375"/>
      <c r="C4" s="73" t="s">
        <v>110</v>
      </c>
      <c r="D4" s="74">
        <f>SUM(D6:D16)</f>
        <v>5.7837035544871735</v>
      </c>
      <c r="E4" s="68"/>
      <c r="F4" s="68"/>
      <c r="G4" s="75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28.5" customHeight="1" x14ac:dyDescent="0.25">
      <c r="A5" s="76" t="s">
        <v>33</v>
      </c>
      <c r="B5" s="77" t="s">
        <v>34</v>
      </c>
      <c r="C5" s="78" t="s">
        <v>111</v>
      </c>
      <c r="D5" s="79" t="s">
        <v>112</v>
      </c>
      <c r="E5" s="80"/>
      <c r="F5" s="68"/>
      <c r="G5" s="75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28.5" customHeight="1" x14ac:dyDescent="0.25">
      <c r="A6" s="81">
        <v>1</v>
      </c>
      <c r="B6" s="81" t="s">
        <v>113</v>
      </c>
      <c r="C6" s="82">
        <v>262200</v>
      </c>
      <c r="D6" s="83">
        <f>C6/D3</f>
        <v>0.53428534749943457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28.5" customHeight="1" x14ac:dyDescent="0.25">
      <c r="A7" s="81">
        <v>2</v>
      </c>
      <c r="B7" s="161" t="s">
        <v>114</v>
      </c>
      <c r="C7" s="82">
        <v>315466</v>
      </c>
      <c r="D7" s="83">
        <f>C7/D3</f>
        <v>0.64282555848305345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28.5" customHeight="1" x14ac:dyDescent="0.25">
      <c r="A8" s="81">
        <v>3</v>
      </c>
      <c r="B8" s="161" t="s">
        <v>115</v>
      </c>
      <c r="C8" s="82">
        <v>214010</v>
      </c>
      <c r="D8" s="83">
        <f>C8/D3</f>
        <v>0.4360885096047063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28.5" customHeight="1" x14ac:dyDescent="0.25">
      <c r="A9" s="81">
        <v>4</v>
      </c>
      <c r="B9" s="161" t="s">
        <v>116</v>
      </c>
      <c r="C9" s="82">
        <v>660344</v>
      </c>
      <c r="D9" s="83">
        <f>C9/D3</f>
        <v>1.3455839950769131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28.5" customHeight="1" x14ac:dyDescent="0.25">
      <c r="A10" s="81">
        <v>5</v>
      </c>
      <c r="B10" s="161" t="s">
        <v>117</v>
      </c>
      <c r="C10" s="82">
        <f>45000+5000+6000</f>
        <v>56000</v>
      </c>
      <c r="D10" s="83">
        <f>C10/D3</f>
        <v>0.11411128703267862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28.5" customHeight="1" x14ac:dyDescent="0.25">
      <c r="A11" s="81">
        <v>6</v>
      </c>
      <c r="B11" s="161" t="s">
        <v>118</v>
      </c>
      <c r="C11" s="82">
        <v>52361</v>
      </c>
      <c r="D11" s="83">
        <f>C11/D3</f>
        <v>0.10669609107710866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28.5" customHeight="1" x14ac:dyDescent="0.25">
      <c r="A12" s="81">
        <v>7</v>
      </c>
      <c r="B12" s="81" t="s">
        <v>119</v>
      </c>
      <c r="C12" s="82">
        <v>861105.06532291078</v>
      </c>
      <c r="D12" s="83">
        <f>C12/D3</f>
        <v>1.7546751298992169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28.5" customHeight="1" x14ac:dyDescent="0.25">
      <c r="A13" s="81">
        <v>8</v>
      </c>
      <c r="B13" s="81" t="s">
        <v>120</v>
      </c>
      <c r="C13" s="82">
        <v>259757.67033811475</v>
      </c>
      <c r="D13" s="83">
        <f>C13/D3</f>
        <v>0.52930860855165218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28.5" customHeight="1" x14ac:dyDescent="0.25">
      <c r="A14" s="81">
        <v>9</v>
      </c>
      <c r="B14" s="81" t="s">
        <v>273</v>
      </c>
      <c r="C14" s="82">
        <v>0</v>
      </c>
      <c r="D14" s="83">
        <f>C14/D3</f>
        <v>0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28.5" customHeight="1" x14ac:dyDescent="0.25">
      <c r="A15" s="81">
        <v>10</v>
      </c>
      <c r="B15" s="81" t="s">
        <v>122</v>
      </c>
      <c r="C15" s="82">
        <v>79603</v>
      </c>
      <c r="D15" s="83">
        <f>C15/D3</f>
        <v>0.16220715681539849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28.5" customHeight="1" x14ac:dyDescent="0.25">
      <c r="A16" s="81">
        <v>11</v>
      </c>
      <c r="B16" s="161" t="s">
        <v>274</v>
      </c>
      <c r="C16" s="82">
        <f>52500+25000</f>
        <v>77500</v>
      </c>
      <c r="D16" s="83">
        <f>C16/D3</f>
        <v>0.15792187044701059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28.5" customHeight="1" x14ac:dyDescent="0.25">
      <c r="A17" s="81" t="s">
        <v>124</v>
      </c>
      <c r="B17" s="84" t="s">
        <v>51</v>
      </c>
      <c r="C17" s="82">
        <f>SUM(C6:C16)</f>
        <v>2838346.7356610256</v>
      </c>
      <c r="D17" s="81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28.5" customHeight="1" x14ac:dyDescent="0.25">
      <c r="A18" s="69">
        <v>12</v>
      </c>
      <c r="B18" s="69" t="s">
        <v>125</v>
      </c>
      <c r="C18" s="85">
        <f>C17*2%</f>
        <v>56766.934713220515</v>
      </c>
      <c r="D18" s="86">
        <f>C18/D3</f>
        <v>0.11567407108974347</v>
      </c>
      <c r="E18" s="80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28.5" customHeight="1" x14ac:dyDescent="0.25">
      <c r="A19" s="69">
        <v>13</v>
      </c>
      <c r="B19" s="69" t="s">
        <v>53</v>
      </c>
      <c r="C19" s="85">
        <v>490749</v>
      </c>
      <c r="D19" s="86">
        <f>C19/D3</f>
        <v>1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28.5" customHeight="1" x14ac:dyDescent="0.25">
      <c r="A20" s="87" t="s">
        <v>126</v>
      </c>
      <c r="B20" s="87" t="s">
        <v>55</v>
      </c>
      <c r="C20" s="88">
        <f>(C18+C19+C17)/D3</f>
        <v>6.8993776255769168</v>
      </c>
      <c r="D20" s="89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3.5" customHeight="1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3.5" customHeight="1" x14ac:dyDescent="0.2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3.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3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3.5" customHeight="1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3.5" customHeight="1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3.5" customHeight="1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3.5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3.5" customHeight="1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3.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3.5" customHeight="1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3.5" customHeight="1" x14ac:dyDescent="0.2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3.5" customHeight="1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3.5" customHeight="1" x14ac:dyDescent="0.2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3.5" customHeight="1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13.5" customHeight="1" x14ac:dyDescent="0.25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13.5" customHeight="1" x14ac:dyDescent="0.25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13.5" customHeight="1" x14ac:dyDescent="0.25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13.5" customHeight="1" x14ac:dyDescent="0.25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3.5" customHeight="1" x14ac:dyDescent="0.25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13.5" customHeight="1" x14ac:dyDescent="0.25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13.5" customHeight="1" x14ac:dyDescent="0.2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3.5" customHeight="1" x14ac:dyDescent="0.2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13.5" customHeight="1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3.5" customHeight="1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3.5" customHeight="1" x14ac:dyDescent="0.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3.5" customHeight="1" x14ac:dyDescent="0.2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3.5" customHeight="1" x14ac:dyDescent="0.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3.5" customHeight="1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3.5" customHeight="1" x14ac:dyDescent="0.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3.5" customHeight="1" x14ac:dyDescent="0.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3.5" customHeight="1" x14ac:dyDescent="0.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3.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3.5" customHeight="1" x14ac:dyDescent="0.2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3.5" customHeight="1" x14ac:dyDescent="0.2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13.5" customHeight="1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3.5" customHeight="1" x14ac:dyDescent="0.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3.5" customHeight="1" x14ac:dyDescent="0.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3.5" customHeight="1" x14ac:dyDescent="0.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3.5" customHeight="1" x14ac:dyDescent="0.2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3.5" customHeight="1" x14ac:dyDescent="0.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3.5" customHeight="1" x14ac:dyDescent="0.2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13.5" customHeight="1" x14ac:dyDescent="0.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3.5" customHeight="1" x14ac:dyDescent="0.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3.5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3.5" customHeight="1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3.5" customHeight="1" x14ac:dyDescent="0.2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3.5" customHeight="1" x14ac:dyDescent="0.2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3.5" customHeight="1" x14ac:dyDescent="0.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3.5" customHeight="1" x14ac:dyDescent="0.2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3.5" customHeight="1" x14ac:dyDescent="0.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3.5" customHeight="1" x14ac:dyDescent="0.2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3.5" customHeight="1" x14ac:dyDescent="0.2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13.5" customHeight="1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13.5" customHeight="1" x14ac:dyDescent="0.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3.5" customHeight="1" x14ac:dyDescent="0.2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3.5" customHeight="1" x14ac:dyDescent="0.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3.5" customHeight="1" x14ac:dyDescent="0.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13.5" customHeight="1" x14ac:dyDescent="0.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3.5" customHeight="1" x14ac:dyDescent="0.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3.5" customHeight="1" x14ac:dyDescent="0.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3.5" customHeight="1" x14ac:dyDescent="0.2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3.5" customHeight="1" x14ac:dyDescent="0.2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13.5" customHeight="1" x14ac:dyDescent="0.2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3.5" customHeight="1" x14ac:dyDescent="0.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3.5" customHeight="1" x14ac:dyDescent="0.2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3.5" customHeight="1" x14ac:dyDescent="0.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13.5" customHeight="1" x14ac:dyDescent="0.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3.5" customHeight="1" x14ac:dyDescent="0.2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3.5" customHeight="1" x14ac:dyDescent="0.2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3.5" customHeight="1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13.5" customHeight="1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3.5" customHeight="1" x14ac:dyDescent="0.2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13.5" customHeight="1" x14ac:dyDescent="0.2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3.5" customHeight="1" x14ac:dyDescent="0.2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3.5" customHeight="1" x14ac:dyDescent="0.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3.5" customHeight="1" x14ac:dyDescent="0.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13.5" customHeight="1" x14ac:dyDescent="0.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3.5" customHeight="1" x14ac:dyDescent="0.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3.5" customHeight="1" x14ac:dyDescent="0.2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3.5" customHeight="1" x14ac:dyDescent="0.2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3.5" customHeight="1" x14ac:dyDescent="0.2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3.5" customHeight="1" x14ac:dyDescent="0.2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3.5" customHeight="1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3.5" customHeight="1" x14ac:dyDescent="0.2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3.5" customHeight="1" x14ac:dyDescent="0.2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3.5" customHeight="1" x14ac:dyDescent="0.2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3.5" customHeight="1" x14ac:dyDescent="0.2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3.5" customHeight="1" x14ac:dyDescent="0.2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3.5" customHeight="1" x14ac:dyDescent="0.2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3.5" customHeight="1" x14ac:dyDescent="0.2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3.5" customHeight="1" x14ac:dyDescent="0.2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3.5" customHeight="1" x14ac:dyDescent="0.2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3.5" customHeight="1" x14ac:dyDescent="0.2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3.5" customHeight="1" x14ac:dyDescent="0.2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3.5" customHeight="1" x14ac:dyDescent="0.2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3.5" customHeight="1" x14ac:dyDescent="0.2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3.5" customHeight="1" x14ac:dyDescent="0.2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3.5" customHeight="1" x14ac:dyDescent="0.2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3.5" customHeight="1" x14ac:dyDescent="0.2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3.5" customHeight="1" x14ac:dyDescent="0.2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3.5" customHeight="1" x14ac:dyDescent="0.2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3.5" customHeight="1" x14ac:dyDescent="0.2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3.5" customHeight="1" x14ac:dyDescent="0.2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3.5" customHeight="1" x14ac:dyDescent="0.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3.5" customHeight="1" x14ac:dyDescent="0.2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3.5" customHeight="1" x14ac:dyDescent="0.2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3.5" customHeight="1" x14ac:dyDescent="0.2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3.5" customHeight="1" x14ac:dyDescent="0.2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3.5" customHeight="1" x14ac:dyDescent="0.2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3.5" customHeight="1" x14ac:dyDescent="0.2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3.5" customHeight="1" x14ac:dyDescent="0.2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3.5" customHeight="1" x14ac:dyDescent="0.2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3.5" customHeight="1" x14ac:dyDescent="0.2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3.5" customHeight="1" x14ac:dyDescent="0.2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3.5" customHeight="1" x14ac:dyDescent="0.2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3.5" customHeight="1" x14ac:dyDescent="0.2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3.5" customHeight="1" x14ac:dyDescent="0.2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3.5" customHeight="1" x14ac:dyDescent="0.2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3.5" customHeight="1" x14ac:dyDescent="0.2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3.5" customHeight="1" x14ac:dyDescent="0.2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3.5" customHeight="1" x14ac:dyDescent="0.2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3.5" customHeight="1" x14ac:dyDescent="0.2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13.5" customHeight="1" x14ac:dyDescent="0.2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3.5" customHeight="1" x14ac:dyDescent="0.2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3.5" customHeight="1" x14ac:dyDescent="0.2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3.5" customHeight="1" x14ac:dyDescent="0.25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3.5" customHeight="1" x14ac:dyDescent="0.2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3.5" customHeight="1" x14ac:dyDescent="0.2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3.5" customHeight="1" x14ac:dyDescent="0.2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3.5" customHeight="1" x14ac:dyDescent="0.25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3.5" customHeight="1" x14ac:dyDescent="0.25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3.5" customHeight="1" x14ac:dyDescent="0.25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3.5" customHeight="1" x14ac:dyDescent="0.25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3.5" customHeight="1" x14ac:dyDescent="0.2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3.5" customHeight="1" x14ac:dyDescent="0.25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3.5" customHeight="1" x14ac:dyDescent="0.2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3.5" customHeight="1" x14ac:dyDescent="0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3.5" customHeight="1" x14ac:dyDescent="0.25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3.5" customHeight="1" x14ac:dyDescent="0.25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3.5" customHeight="1" x14ac:dyDescent="0.25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3.5" customHeight="1" x14ac:dyDescent="0.25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3.5" customHeight="1" x14ac:dyDescent="0.25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3.5" customHeight="1" x14ac:dyDescent="0.2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3.5" customHeight="1" x14ac:dyDescent="0.2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3.5" customHeight="1" x14ac:dyDescent="0.2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3.5" customHeight="1" x14ac:dyDescent="0.2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3.5" customHeight="1" x14ac:dyDescent="0.2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3.5" customHeight="1" x14ac:dyDescent="0.2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3.5" customHeight="1" x14ac:dyDescent="0.2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3.5" customHeight="1" x14ac:dyDescent="0.2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3.5" customHeight="1" x14ac:dyDescent="0.2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3.5" customHeight="1" x14ac:dyDescent="0.2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3.5" customHeight="1" x14ac:dyDescent="0.2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3.5" customHeight="1" x14ac:dyDescent="0.2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3.5" customHeight="1" x14ac:dyDescent="0.2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3.5" customHeight="1" x14ac:dyDescent="0.2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3.5" customHeight="1" x14ac:dyDescent="0.2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3.5" customHeight="1" x14ac:dyDescent="0.2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3.5" customHeight="1" x14ac:dyDescent="0.2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3.5" customHeight="1" x14ac:dyDescent="0.2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3.5" customHeight="1" x14ac:dyDescent="0.2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3.5" customHeight="1" x14ac:dyDescent="0.2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3.5" customHeight="1" x14ac:dyDescent="0.2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3.5" customHeight="1" x14ac:dyDescent="0.2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3.5" customHeight="1" x14ac:dyDescent="0.2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3.5" customHeight="1" x14ac:dyDescent="0.2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3.5" customHeight="1" x14ac:dyDescent="0.2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3.5" customHeight="1" x14ac:dyDescent="0.2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3.5" customHeight="1" x14ac:dyDescent="0.25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3.5" customHeight="1" x14ac:dyDescent="0.25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3.5" customHeight="1" x14ac:dyDescent="0.25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3.5" customHeight="1" x14ac:dyDescent="0.25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3.5" customHeight="1" x14ac:dyDescent="0.2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3.5" customHeight="1" x14ac:dyDescent="0.2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3.5" customHeight="1" x14ac:dyDescent="0.25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3.5" customHeight="1" x14ac:dyDescent="0.25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3.5" customHeight="1" x14ac:dyDescent="0.25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3.5" customHeight="1" x14ac:dyDescent="0.25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3.5" customHeight="1" x14ac:dyDescent="0.25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3.5" customHeight="1" x14ac:dyDescent="0.25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3.5" customHeight="1" x14ac:dyDescent="0.25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3.5" customHeight="1" x14ac:dyDescent="0.25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3.5" customHeight="1" x14ac:dyDescent="0.25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3.5" customHeight="1" x14ac:dyDescent="0.2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3.5" customHeight="1" x14ac:dyDescent="0.25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3.5" customHeight="1" x14ac:dyDescent="0.25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3.5" customHeight="1" x14ac:dyDescent="0.25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3.5" customHeight="1" x14ac:dyDescent="0.25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3.5" customHeight="1" x14ac:dyDescent="0.25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3.5" customHeight="1" x14ac:dyDescent="0.2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3.5" customHeight="1" x14ac:dyDescent="0.25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3.5" customHeight="1" x14ac:dyDescent="0.25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3.5" customHeight="1" x14ac:dyDescent="0.25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3.5" customHeight="1" x14ac:dyDescent="0.2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3.5" customHeight="1" x14ac:dyDescent="0.25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3.5" customHeight="1" x14ac:dyDescent="0.25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3.5" customHeight="1" x14ac:dyDescent="0.25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3.5" customHeight="1" x14ac:dyDescent="0.25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3.5" customHeight="1" x14ac:dyDescent="0.2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:D2"/>
    <mergeCell ref="A4:B4"/>
  </mergeCells>
  <hyperlinks>
    <hyperlink ref="B7" location="null!A1" display="Technical manpower" xr:uid="{00000000-0004-0000-0F00-000000000000}"/>
    <hyperlink ref="B8" location="null!A1" display="HK Manpower" xr:uid="{00000000-0004-0000-0F00-000001000000}"/>
    <hyperlink ref="B9" location="null!A1" display="LP Manpower -Security Services " xr:uid="{00000000-0004-0000-0F00-000002000000}"/>
    <hyperlink ref="B10" location="null!A1" display="AMC" xr:uid="{00000000-0004-0000-0F00-000003000000}"/>
    <hyperlink ref="B11" location="null!A1" display="Consumables" xr:uid="{00000000-0004-0000-0F00-000004000000}"/>
    <hyperlink ref="B16" location="null!A1" display="Liosaning &amp; Licenses" xr:uid="{00000000-0004-0000-0F00-000005000000}"/>
  </hyperlinks>
  <pageMargins left="0.7" right="0.7" top="0.75" bottom="0.75" header="0" footer="0"/>
  <pageSetup paperSize="9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28515625" customWidth="1"/>
    <col min="7" max="7" width="10.5703125" customWidth="1"/>
    <col min="8" max="8" width="9.28515625" customWidth="1"/>
    <col min="9" max="26" width="12.42578125" customWidth="1"/>
  </cols>
  <sheetData>
    <row r="1" spans="1:26" x14ac:dyDescent="0.25">
      <c r="A1" s="381" t="s">
        <v>287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'CAM-Dec`23'!C20</f>
        <v>6.8993776255769168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22843.839318285172</v>
      </c>
      <c r="G5" s="110">
        <f>C5*65%</f>
        <v>2152.15</v>
      </c>
      <c r="H5" s="111">
        <f>F5/G5</f>
        <v>10.61442711627218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26328.025019201516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26314.226263950361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25168.929578104591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23706.261521482287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18787.005274445946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9528.0405009217229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5209.030107310572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46398.314532004762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53028.616430184185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67020.554254854171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65640.678729738793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C24*F2</f>
        <v>1156018.3186759148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115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109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128">
        <f>C30*F2</f>
        <v>13798.755251153834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130">
        <f>C31*F2</f>
        <v>4049.93466621365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130">
        <f>C32*F2</f>
        <v>21043.101758009598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115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109">
        <f>C34*F2</f>
        <v>78825.389372216276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109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130">
        <f>C36*F2</f>
        <v>14875.058160743833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130">
        <f>C37*F2</f>
        <v>14302.409817820948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130">
        <f>C38*F2</f>
        <v>20194.478310063634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130">
        <f>C39*F2</f>
        <v>8976.0902908755688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115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109">
        <f>C41*F2</f>
        <v>60017.685964893601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115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115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14495.592391337103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78825.389372216276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58348.036579503983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60017.685964893601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38891.791675377077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78825.389372216276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134">
        <f>C57*F2</f>
        <v>27300.837264407859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134">
        <f>C58*F2</f>
        <v>10349.066438365375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134">
        <f>C59*F2</f>
        <v>10349.066438365375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134">
        <f>C60*F2</f>
        <v>10349.066438365375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15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60017.685964893601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15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15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38891.791675377077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20698.13287673075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6899.3776255769171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23630.368367600939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6899.3776255769171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13798.755251153834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6899.3776255769171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15868.568538826908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6899.3776255769171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7954.9824022901848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7948.0830246646083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7948.0830246646083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5864.4709817403791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5864.4709817403791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60017.685964893601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17848.689917367483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21043.101758009598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20891.315450246904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18517.929547048443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20891.315450246904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18524.828924674021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58348.036579503983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60017.685964893601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14495.592391337103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77038.45056719186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1786.9388050244215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52711.245059407644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5636.7915200963407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60017.685964893601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11039.004200923067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6809.6857164444173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21043.101758009598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39409.244997295347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39416.144374920928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8548.3288780898001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8555.2282557153776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8548.3288780898001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8548.3288780898001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5519.5021004615337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5519.5021004615337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7589.3153881346088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5519.5021004615337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31895.822763042088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13088.119355719411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15033.743846132102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38891.791675377077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78825.389372216276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13364.094460742488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44983.942118761501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60017.685964893601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3385862.6703742468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63.42578125" customWidth="1"/>
    <col min="3" max="3" width="16.7109375" customWidth="1"/>
    <col min="4" max="4" width="12.140625" customWidth="1"/>
    <col min="5" max="5" width="14.28515625" customWidth="1"/>
    <col min="6" max="6" width="8" customWidth="1"/>
    <col min="7" max="7" width="15.140625" customWidth="1"/>
    <col min="8" max="8" width="16.42578125" customWidth="1"/>
    <col min="9" max="9" width="18.7109375" customWidth="1"/>
    <col min="10" max="10" width="17.42578125" customWidth="1"/>
    <col min="11" max="23" width="9" customWidth="1"/>
  </cols>
  <sheetData>
    <row r="1" spans="1:26" ht="28.5" customHeight="1" x14ac:dyDescent="0.25">
      <c r="A1" s="410" t="s">
        <v>288</v>
      </c>
      <c r="B1" s="382"/>
      <c r="C1" s="382"/>
      <c r="D1" s="382"/>
      <c r="E1" s="382"/>
      <c r="F1" s="382"/>
      <c r="G1" s="382"/>
      <c r="H1" s="383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162"/>
      <c r="Y1" s="162"/>
      <c r="Z1" s="162"/>
    </row>
    <row r="2" spans="1:26" ht="28.5" customHeight="1" x14ac:dyDescent="0.25">
      <c r="A2" s="163"/>
      <c r="B2" s="164" t="s">
        <v>289</v>
      </c>
      <c r="C2" s="165" t="s">
        <v>108</v>
      </c>
      <c r="D2" s="166">
        <v>490749</v>
      </c>
      <c r="E2" s="411" t="s">
        <v>290</v>
      </c>
      <c r="F2" s="385"/>
      <c r="G2" s="412"/>
      <c r="H2" s="167" t="s">
        <v>291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162"/>
      <c r="Y2" s="162"/>
      <c r="Z2" s="162"/>
    </row>
    <row r="3" spans="1:26" ht="28.5" customHeight="1" x14ac:dyDescent="0.25">
      <c r="A3" s="413" t="s">
        <v>109</v>
      </c>
      <c r="B3" s="414"/>
      <c r="C3" s="168" t="s">
        <v>110</v>
      </c>
      <c r="D3" s="169">
        <f>SUM(D5:D17)</f>
        <v>6.3058775800200193</v>
      </c>
      <c r="E3" s="170" t="s">
        <v>36</v>
      </c>
      <c r="F3" s="171" t="s">
        <v>292</v>
      </c>
      <c r="G3" s="172">
        <v>167554</v>
      </c>
      <c r="H3" s="173">
        <f>D2-G3</f>
        <v>323195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162"/>
      <c r="Y3" s="162"/>
      <c r="Z3" s="162"/>
    </row>
    <row r="4" spans="1:26" ht="28.5" customHeight="1" x14ac:dyDescent="0.25">
      <c r="A4" s="174" t="s">
        <v>33</v>
      </c>
      <c r="B4" s="175" t="s">
        <v>34</v>
      </c>
      <c r="C4" s="176" t="s">
        <v>111</v>
      </c>
      <c r="D4" s="177" t="s">
        <v>112</v>
      </c>
      <c r="E4" s="178"/>
      <c r="F4" s="179"/>
      <c r="G4" s="180"/>
      <c r="H4" s="181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162"/>
      <c r="Y4" s="162"/>
      <c r="Z4" s="162"/>
    </row>
    <row r="5" spans="1:26" ht="28.5" customHeight="1" x14ac:dyDescent="0.25">
      <c r="A5" s="182">
        <v>1</v>
      </c>
      <c r="B5" s="183" t="s">
        <v>293</v>
      </c>
      <c r="C5" s="184">
        <f>262200+77500</f>
        <v>339700</v>
      </c>
      <c r="D5" s="185">
        <f>C5/D2</f>
        <v>0.69220721794644513</v>
      </c>
      <c r="E5" s="186"/>
      <c r="F5" s="187"/>
      <c r="G5" s="188">
        <f>G3*D5</f>
        <v>115982.08819579867</v>
      </c>
      <c r="H5" s="189">
        <f>H3*D5</f>
        <v>223717.91180420134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162"/>
      <c r="Y5" s="162"/>
      <c r="Z5" s="162"/>
    </row>
    <row r="6" spans="1:26" ht="28.5" customHeight="1" x14ac:dyDescent="0.25">
      <c r="A6" s="182">
        <v>2</v>
      </c>
      <c r="B6" s="190" t="s">
        <v>114</v>
      </c>
      <c r="C6" s="184">
        <v>354076</v>
      </c>
      <c r="D6" s="185">
        <f>C6/D2</f>
        <v>0.72150121548897705</v>
      </c>
      <c r="E6" s="191">
        <f>C6*D28</f>
        <v>114786.34086909852</v>
      </c>
      <c r="F6" s="192">
        <f>E6/D2</f>
        <v>0.23390030518472482</v>
      </c>
      <c r="G6" s="188">
        <f>F6*G3</f>
        <v>39190.931734921382</v>
      </c>
      <c r="H6" s="189">
        <f t="shared" ref="H6:H7" si="0">C6-G6</f>
        <v>314885.06826507859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162"/>
      <c r="Y6" s="162"/>
      <c r="Z6" s="162"/>
    </row>
    <row r="7" spans="1:26" ht="28.5" customHeight="1" x14ac:dyDescent="0.25">
      <c r="A7" s="182">
        <v>3</v>
      </c>
      <c r="B7" s="190" t="s">
        <v>115</v>
      </c>
      <c r="C7" s="184">
        <v>253952</v>
      </c>
      <c r="D7" s="185">
        <f>C7/D2</f>
        <v>0.51747838508076427</v>
      </c>
      <c r="E7" s="191">
        <f>C7*D27</f>
        <v>173672.12885375807</v>
      </c>
      <c r="F7" s="192">
        <f>E7/D2</f>
        <v>0.35389196687870594</v>
      </c>
      <c r="G7" s="193">
        <f>F7*G3</f>
        <v>59296.014618394693</v>
      </c>
      <c r="H7" s="189">
        <f t="shared" si="0"/>
        <v>194655.98538160531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162"/>
      <c r="Y7" s="162"/>
      <c r="Z7" s="162"/>
    </row>
    <row r="8" spans="1:26" ht="28.5" customHeight="1" x14ac:dyDescent="0.25">
      <c r="A8" s="182">
        <v>4</v>
      </c>
      <c r="B8" s="190" t="s">
        <v>116</v>
      </c>
      <c r="C8" s="184">
        <v>751571</v>
      </c>
      <c r="D8" s="185">
        <f>C8/D2</f>
        <v>1.5314773947578091</v>
      </c>
      <c r="E8" s="186"/>
      <c r="F8" s="187"/>
      <c r="G8" s="188">
        <f>G3*D8</f>
        <v>256605.16340124994</v>
      </c>
      <c r="H8" s="189">
        <f>H3*D8</f>
        <v>494965.83659875009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162"/>
      <c r="Y8" s="162"/>
      <c r="Z8" s="162"/>
    </row>
    <row r="9" spans="1:26" ht="28.5" customHeight="1" x14ac:dyDescent="0.25">
      <c r="A9" s="182">
        <v>5</v>
      </c>
      <c r="B9" s="190" t="s">
        <v>117</v>
      </c>
      <c r="C9" s="184">
        <f>45000+5000+6000</f>
        <v>56000</v>
      </c>
      <c r="D9" s="185">
        <f>C9/D2</f>
        <v>0.11411128703267862</v>
      </c>
      <c r="E9" s="186"/>
      <c r="F9" s="187"/>
      <c r="G9" s="188">
        <f>D9*G3</f>
        <v>19119.802587473434</v>
      </c>
      <c r="H9" s="189">
        <f>D9*H3</f>
        <v>36880.197412526562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162"/>
      <c r="Y9" s="162"/>
      <c r="Z9" s="162"/>
    </row>
    <row r="10" spans="1:26" ht="28.5" customHeight="1" x14ac:dyDescent="0.25">
      <c r="A10" s="182">
        <v>6</v>
      </c>
      <c r="B10" s="194" t="s">
        <v>43</v>
      </c>
      <c r="C10" s="184">
        <v>0</v>
      </c>
      <c r="D10" s="185">
        <v>0</v>
      </c>
      <c r="E10" s="186"/>
      <c r="F10" s="187"/>
      <c r="G10" s="188">
        <v>0</v>
      </c>
      <c r="H10" s="189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162"/>
      <c r="Y10" s="162"/>
      <c r="Z10" s="162"/>
    </row>
    <row r="11" spans="1:26" ht="28.5" customHeight="1" x14ac:dyDescent="0.25">
      <c r="A11" s="182">
        <v>7</v>
      </c>
      <c r="B11" s="190" t="s">
        <v>118</v>
      </c>
      <c r="C11" s="184">
        <v>0</v>
      </c>
      <c r="D11" s="185">
        <f>C11/D2</f>
        <v>0</v>
      </c>
      <c r="E11" s="191">
        <f>C11*D27</f>
        <v>0</v>
      </c>
      <c r="F11" s="192">
        <f>E11/D2</f>
        <v>0</v>
      </c>
      <c r="G11" s="193">
        <f>F11*G3</f>
        <v>0</v>
      </c>
      <c r="H11" s="189">
        <f>C11-G11</f>
        <v>0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162"/>
      <c r="Y11" s="162"/>
      <c r="Z11" s="162"/>
    </row>
    <row r="12" spans="1:26" ht="28.5" customHeight="1" x14ac:dyDescent="0.25">
      <c r="A12" s="182">
        <v>8</v>
      </c>
      <c r="B12" s="183" t="s">
        <v>294</v>
      </c>
      <c r="C12" s="184">
        <v>0</v>
      </c>
      <c r="D12" s="185">
        <v>0</v>
      </c>
      <c r="E12" s="191"/>
      <c r="F12" s="192"/>
      <c r="G12" s="188">
        <v>0</v>
      </c>
      <c r="H12" s="189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162"/>
      <c r="Y12" s="162"/>
      <c r="Z12" s="162"/>
    </row>
    <row r="13" spans="1:26" ht="28.5" customHeight="1" x14ac:dyDescent="0.25">
      <c r="A13" s="182">
        <v>9</v>
      </c>
      <c r="B13" s="183" t="s">
        <v>295</v>
      </c>
      <c r="C13" s="195">
        <v>1057296.1165172444</v>
      </c>
      <c r="D13" s="196">
        <f>C13/D2</f>
        <v>2.1544539398292089</v>
      </c>
      <c r="E13" s="191">
        <f>+C13*D28</f>
        <v>342760.17699624522</v>
      </c>
      <c r="F13" s="192">
        <f>E13/D2</f>
        <v>0.69844294536768337</v>
      </c>
      <c r="G13" s="188">
        <f>F13*G3</f>
        <v>117026.90926813682</v>
      </c>
      <c r="H13" s="189">
        <f>C13-G13</f>
        <v>940269.20724910754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162"/>
      <c r="Y13" s="162"/>
      <c r="Z13" s="162"/>
    </row>
    <row r="14" spans="1:26" ht="28.5" customHeight="1" x14ac:dyDescent="0.25">
      <c r="A14" s="182">
        <v>10</v>
      </c>
      <c r="B14" s="183" t="s">
        <v>296</v>
      </c>
      <c r="C14" s="184">
        <f>266239-C15</f>
        <v>266239</v>
      </c>
      <c r="D14" s="185">
        <f>C14/D2</f>
        <v>0.54251562407666654</v>
      </c>
      <c r="E14" s="186"/>
      <c r="F14" s="187"/>
      <c r="G14" s="188">
        <f>G3*D14</f>
        <v>90900.662876541784</v>
      </c>
      <c r="H14" s="189">
        <f>H3*D14</f>
        <v>175338.33712345824</v>
      </c>
      <c r="I14" s="68"/>
      <c r="J14" s="197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162"/>
      <c r="Y14" s="162"/>
      <c r="Z14" s="162"/>
    </row>
    <row r="15" spans="1:26" ht="28.5" customHeight="1" x14ac:dyDescent="0.25">
      <c r="A15" s="182">
        <v>11</v>
      </c>
      <c r="B15" s="183" t="s">
        <v>48</v>
      </c>
      <c r="C15" s="184">
        <f>E32</f>
        <v>0</v>
      </c>
      <c r="D15" s="185"/>
      <c r="E15" s="186"/>
      <c r="F15" s="187"/>
      <c r="G15" s="188"/>
      <c r="H15" s="189">
        <f>C15</f>
        <v>0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162"/>
      <c r="Y15" s="162"/>
      <c r="Z15" s="162"/>
    </row>
    <row r="16" spans="1:26" ht="28.5" customHeight="1" x14ac:dyDescent="0.25">
      <c r="A16" s="182">
        <v>12</v>
      </c>
      <c r="B16" s="183" t="s">
        <v>297</v>
      </c>
      <c r="C16" s="184">
        <v>15769</v>
      </c>
      <c r="D16" s="185">
        <f>C16/D2</f>
        <v>3.2132515807469807E-2</v>
      </c>
      <c r="E16" s="186"/>
      <c r="F16" s="187"/>
      <c r="G16" s="188">
        <f t="shared" ref="G16:G17" si="1">D16*G3</f>
        <v>5383.9315536047961</v>
      </c>
      <c r="H16" s="189">
        <f>H3*D16</f>
        <v>10385.068446395204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162"/>
      <c r="Y16" s="162"/>
      <c r="Z16" s="162"/>
    </row>
    <row r="17" spans="1:26" ht="28.5" customHeight="1" x14ac:dyDescent="0.25">
      <c r="A17" s="198">
        <v>13</v>
      </c>
      <c r="B17" s="199" t="s">
        <v>274</v>
      </c>
      <c r="C17" s="200">
        <v>0</v>
      </c>
      <c r="D17" s="201">
        <f>C17/D2</f>
        <v>0</v>
      </c>
      <c r="E17" s="202"/>
      <c r="F17" s="203"/>
      <c r="G17" s="204">
        <f t="shared" si="1"/>
        <v>0</v>
      </c>
      <c r="H17" s="205">
        <f>C17-G17</f>
        <v>0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162"/>
      <c r="Y17" s="162"/>
      <c r="Z17" s="162"/>
    </row>
    <row r="18" spans="1:26" ht="20.25" customHeight="1" x14ac:dyDescent="0.25">
      <c r="A18" s="206" t="s">
        <v>124</v>
      </c>
      <c r="B18" s="207" t="s">
        <v>51</v>
      </c>
      <c r="C18" s="208">
        <f>SUM(C5:C17)</f>
        <v>3094603.1165172444</v>
      </c>
      <c r="D18" s="209"/>
      <c r="E18" s="210"/>
      <c r="F18" s="211"/>
      <c r="G18" s="212">
        <f t="shared" ref="G18:H18" si="2">SUM(G5:G17)</f>
        <v>703505.50423612143</v>
      </c>
      <c r="H18" s="213">
        <f t="shared" si="2"/>
        <v>2391097.6122811227</v>
      </c>
      <c r="I18" s="214"/>
      <c r="J18" s="214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162"/>
      <c r="Y18" s="162"/>
      <c r="Z18" s="162"/>
    </row>
    <row r="19" spans="1:26" ht="20.25" customHeight="1" x14ac:dyDescent="0.25">
      <c r="A19" s="215">
        <v>14</v>
      </c>
      <c r="B19" s="216" t="s">
        <v>125</v>
      </c>
      <c r="C19" s="217">
        <f>C18*2%</f>
        <v>61892.062330344888</v>
      </c>
      <c r="D19" s="218"/>
      <c r="E19" s="219"/>
      <c r="F19" s="220"/>
      <c r="G19" s="221">
        <f>G18*2%</f>
        <v>14070.11008472243</v>
      </c>
      <c r="H19" s="222">
        <f t="shared" ref="H19:H20" si="3">C19-G19</f>
        <v>47821.952245622459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162"/>
      <c r="Y19" s="162"/>
      <c r="Z19" s="162"/>
    </row>
    <row r="20" spans="1:26" ht="20.25" customHeight="1" x14ac:dyDescent="0.25">
      <c r="A20" s="223">
        <v>15</v>
      </c>
      <c r="B20" s="224" t="s">
        <v>53</v>
      </c>
      <c r="C20" s="225">
        <v>490749</v>
      </c>
      <c r="D20" s="226">
        <f>C20/D2</f>
        <v>1</v>
      </c>
      <c r="E20" s="227"/>
      <c r="F20" s="69"/>
      <c r="G20" s="228">
        <f>D20*G3</f>
        <v>167554</v>
      </c>
      <c r="H20" s="229">
        <f t="shared" si="3"/>
        <v>323195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162"/>
      <c r="Y20" s="162"/>
      <c r="Z20" s="162"/>
    </row>
    <row r="21" spans="1:26" ht="20.25" customHeight="1" x14ac:dyDescent="0.25">
      <c r="A21" s="230"/>
      <c r="B21" s="231" t="s">
        <v>54</v>
      </c>
      <c r="C21" s="232">
        <f>C18+C19+C20</f>
        <v>3647244.1788475891</v>
      </c>
      <c r="D21" s="233"/>
      <c r="E21" s="234"/>
      <c r="F21" s="235"/>
      <c r="G21" s="236">
        <f t="shared" ref="G21:H21" si="4">G18+G19+G20</f>
        <v>885129.61432084383</v>
      </c>
      <c r="H21" s="237">
        <f t="shared" si="4"/>
        <v>2762114.5645267451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162"/>
      <c r="Y21" s="162"/>
      <c r="Z21" s="162"/>
    </row>
    <row r="22" spans="1:26" ht="26.25" customHeight="1" x14ac:dyDescent="0.25">
      <c r="A22" s="238" t="s">
        <v>126</v>
      </c>
      <c r="B22" s="239" t="s">
        <v>55</v>
      </c>
      <c r="C22" s="240">
        <f>(C19+C20+C18)/D2</f>
        <v>7.43199513162042</v>
      </c>
      <c r="D22" s="241"/>
      <c r="E22" s="242"/>
      <c r="F22" s="243"/>
      <c r="G22" s="244">
        <f>(G18+G19+G20)/G3</f>
        <v>5.282652842193226</v>
      </c>
      <c r="H22" s="245">
        <f>(H19+H20+H18)/H3</f>
        <v>8.5462787621304326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162"/>
      <c r="Y22" s="162"/>
      <c r="Z22" s="162"/>
    </row>
    <row r="23" spans="1:26" ht="13.5" customHeight="1" x14ac:dyDescent="0.25">
      <c r="A23" s="246"/>
      <c r="B23" s="68"/>
      <c r="C23" s="68"/>
      <c r="D23" s="247"/>
      <c r="E23" s="68"/>
      <c r="F23" s="68"/>
      <c r="G23" s="248"/>
      <c r="H23" s="24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162"/>
      <c r="Y23" s="162"/>
      <c r="Z23" s="162"/>
    </row>
    <row r="24" spans="1:26" ht="13.5" customHeight="1" x14ac:dyDescent="0.25">
      <c r="A24" s="249"/>
      <c r="B24" s="68"/>
      <c r="C24" s="250"/>
      <c r="D24" s="68"/>
      <c r="E24" s="68"/>
      <c r="F24" s="68"/>
      <c r="G24" s="250"/>
      <c r="H24" s="250"/>
      <c r="I24" s="250"/>
      <c r="J24" s="250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162"/>
      <c r="Y24" s="162"/>
      <c r="Z24" s="162"/>
    </row>
    <row r="25" spans="1:26" ht="27.75" customHeight="1" x14ac:dyDescent="0.25">
      <c r="A25" s="251" t="s">
        <v>298</v>
      </c>
      <c r="B25" s="251" t="s">
        <v>34</v>
      </c>
      <c r="C25" s="252" t="s">
        <v>299</v>
      </c>
      <c r="D25" s="253" t="s">
        <v>300</v>
      </c>
      <c r="E25" s="253" t="s">
        <v>69</v>
      </c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162"/>
      <c r="Y25" s="162"/>
      <c r="Z25" s="162"/>
    </row>
    <row r="26" spans="1:26" ht="13.5" customHeight="1" x14ac:dyDescent="0.25">
      <c r="A26" s="254">
        <v>1</v>
      </c>
      <c r="B26" s="255" t="s">
        <v>301</v>
      </c>
      <c r="C26" s="256">
        <v>381481.8729539999</v>
      </c>
      <c r="D26" s="254"/>
      <c r="E26" s="254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162"/>
      <c r="Y26" s="162"/>
      <c r="Z26" s="162"/>
    </row>
    <row r="27" spans="1:26" ht="13.5" customHeight="1" x14ac:dyDescent="0.25">
      <c r="A27" s="254">
        <v>2</v>
      </c>
      <c r="B27" s="255" t="s">
        <v>302</v>
      </c>
      <c r="C27" s="256">
        <v>260886.97468434996</v>
      </c>
      <c r="D27" s="257">
        <f>C27/C26</f>
        <v>0.68387777553930695</v>
      </c>
      <c r="E27" s="254" t="s">
        <v>303</v>
      </c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162"/>
      <c r="Y27" s="162"/>
      <c r="Z27" s="162"/>
    </row>
    <row r="28" spans="1:26" ht="13.5" customHeight="1" x14ac:dyDescent="0.25">
      <c r="A28" s="254">
        <v>3</v>
      </c>
      <c r="B28" s="255" t="s">
        <v>302</v>
      </c>
      <c r="C28" s="256">
        <v>123670.93026434995</v>
      </c>
      <c r="D28" s="257">
        <f>C28/C26</f>
        <v>0.32418560102661159</v>
      </c>
      <c r="E28" s="254" t="s">
        <v>304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162"/>
      <c r="Y28" s="162"/>
      <c r="Z28" s="162"/>
    </row>
    <row r="29" spans="1:26" ht="13.5" customHeight="1" x14ac:dyDescent="0.25">
      <c r="A29" s="254">
        <v>4</v>
      </c>
      <c r="B29" s="255" t="s">
        <v>305</v>
      </c>
      <c r="C29" s="256"/>
      <c r="D29" s="257"/>
      <c r="E29" s="254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162"/>
      <c r="Y29" s="162"/>
      <c r="Z29" s="162"/>
    </row>
    <row r="30" spans="1:26" ht="13.5" customHeight="1" x14ac:dyDescent="0.25">
      <c r="A30" s="249"/>
      <c r="B30" s="258"/>
      <c r="C30" s="259"/>
      <c r="D30" s="260"/>
      <c r="E30" s="249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162"/>
      <c r="Y30" s="162"/>
      <c r="Z30" s="162"/>
    </row>
    <row r="31" spans="1:26" ht="13.5" customHeight="1" x14ac:dyDescent="0.25">
      <c r="A31" s="261" t="s">
        <v>298</v>
      </c>
      <c r="B31" s="261" t="s">
        <v>306</v>
      </c>
      <c r="C31" s="261" t="s">
        <v>307</v>
      </c>
      <c r="D31" s="261" t="s">
        <v>308</v>
      </c>
      <c r="E31" s="261" t="s">
        <v>309</v>
      </c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162"/>
      <c r="Y31" s="162"/>
      <c r="Z31" s="162"/>
    </row>
    <row r="32" spans="1:26" ht="13.5" customHeight="1" x14ac:dyDescent="0.25">
      <c r="A32" s="254">
        <v>1</v>
      </c>
      <c r="B32" s="187" t="s">
        <v>310</v>
      </c>
      <c r="C32" s="187">
        <v>0</v>
      </c>
      <c r="D32" s="192">
        <v>332.68</v>
      </c>
      <c r="E32" s="192">
        <f>C32*D32</f>
        <v>0</v>
      </c>
      <c r="F32" s="68" t="s">
        <v>311</v>
      </c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162"/>
      <c r="Y32" s="162"/>
      <c r="Z32" s="162"/>
    </row>
    <row r="33" spans="1:26" ht="13.5" customHeight="1" x14ac:dyDescent="0.25">
      <c r="A33" s="249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162"/>
      <c r="Y34" s="162"/>
      <c r="Z34" s="162"/>
    </row>
    <row r="35" spans="1:26" ht="13.5" customHeight="1" x14ac:dyDescent="0.25">
      <c r="A35" s="249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162"/>
      <c r="Y35" s="162"/>
      <c r="Z35" s="162"/>
    </row>
    <row r="36" spans="1:26" ht="13.5" customHeight="1" x14ac:dyDescent="0.25">
      <c r="A36" s="249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162"/>
      <c r="Y36" s="162"/>
      <c r="Z36" s="162"/>
    </row>
    <row r="37" spans="1:26" ht="13.5" customHeight="1" x14ac:dyDescent="0.25">
      <c r="A37" s="249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162"/>
      <c r="Y37" s="162"/>
      <c r="Z37" s="162"/>
    </row>
    <row r="38" spans="1:26" ht="13.5" customHeight="1" x14ac:dyDescent="0.25">
      <c r="A38" s="249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162"/>
      <c r="Y38" s="162"/>
      <c r="Z38" s="162"/>
    </row>
    <row r="39" spans="1:26" ht="13.5" customHeight="1" x14ac:dyDescent="0.25">
      <c r="A39" s="249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162"/>
      <c r="Y39" s="162"/>
      <c r="Z39" s="162"/>
    </row>
    <row r="40" spans="1:26" ht="13.5" customHeight="1" x14ac:dyDescent="0.25">
      <c r="A40" s="24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162"/>
      <c r="Y40" s="162"/>
      <c r="Z40" s="162"/>
    </row>
    <row r="41" spans="1:26" ht="13.5" customHeight="1" x14ac:dyDescent="0.25">
      <c r="A41" s="249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162"/>
      <c r="Y41" s="162"/>
      <c r="Z41" s="162"/>
    </row>
    <row r="42" spans="1:26" ht="13.5" customHeight="1" x14ac:dyDescent="0.25">
      <c r="A42" s="249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162"/>
      <c r="Y42" s="162"/>
      <c r="Z42" s="162"/>
    </row>
    <row r="43" spans="1:26" ht="13.5" customHeight="1" x14ac:dyDescent="0.25">
      <c r="A43" s="249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162"/>
      <c r="Y43" s="162"/>
      <c r="Z43" s="162"/>
    </row>
    <row r="44" spans="1:26" ht="13.5" customHeight="1" x14ac:dyDescent="0.25">
      <c r="A44" s="249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162"/>
      <c r="Y44" s="162"/>
      <c r="Z44" s="162"/>
    </row>
    <row r="45" spans="1:26" ht="13.5" customHeight="1" x14ac:dyDescent="0.25">
      <c r="A45" s="249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162"/>
      <c r="Y45" s="162"/>
      <c r="Z45" s="162"/>
    </row>
    <row r="46" spans="1:26" ht="13.5" customHeight="1" x14ac:dyDescent="0.25">
      <c r="A46" s="249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162"/>
      <c r="Y46" s="162"/>
      <c r="Z46" s="162"/>
    </row>
    <row r="47" spans="1:26" ht="13.5" customHeight="1" x14ac:dyDescent="0.25">
      <c r="A47" s="249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162"/>
      <c r="Y47" s="162"/>
      <c r="Z47" s="162"/>
    </row>
    <row r="48" spans="1:26" ht="13.5" customHeight="1" x14ac:dyDescent="0.25">
      <c r="A48" s="249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162"/>
      <c r="Y48" s="162"/>
      <c r="Z48" s="162"/>
    </row>
    <row r="49" spans="1:26" ht="13.5" customHeight="1" x14ac:dyDescent="0.25">
      <c r="A49" s="249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162"/>
      <c r="Y49" s="162"/>
      <c r="Z49" s="162"/>
    </row>
    <row r="50" spans="1:26" ht="13.5" customHeight="1" x14ac:dyDescent="0.25">
      <c r="A50" s="249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162"/>
      <c r="Y50" s="162"/>
      <c r="Z50" s="162"/>
    </row>
    <row r="51" spans="1:26" ht="13.5" customHeight="1" x14ac:dyDescent="0.25">
      <c r="A51" s="249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162"/>
      <c r="Y51" s="162"/>
      <c r="Z51" s="162"/>
    </row>
    <row r="52" spans="1:26" ht="13.5" customHeight="1" x14ac:dyDescent="0.25">
      <c r="A52" s="249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162"/>
      <c r="Y52" s="162"/>
      <c r="Z52" s="162"/>
    </row>
    <row r="53" spans="1:26" ht="13.5" customHeight="1" x14ac:dyDescent="0.25">
      <c r="A53" s="249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162"/>
      <c r="Y53" s="162"/>
      <c r="Z53" s="162"/>
    </row>
    <row r="54" spans="1:26" ht="13.5" customHeight="1" x14ac:dyDescent="0.25">
      <c r="A54" s="249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162"/>
      <c r="Y54" s="162"/>
      <c r="Z54" s="162"/>
    </row>
    <row r="55" spans="1:26" ht="13.5" customHeight="1" x14ac:dyDescent="0.25">
      <c r="A55" s="249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162"/>
      <c r="Y55" s="162"/>
      <c r="Z55" s="162"/>
    </row>
    <row r="56" spans="1:26" ht="13.5" customHeight="1" x14ac:dyDescent="0.25">
      <c r="A56" s="249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162"/>
      <c r="Y56" s="162"/>
      <c r="Z56" s="162"/>
    </row>
    <row r="57" spans="1:26" ht="13.5" customHeight="1" x14ac:dyDescent="0.25">
      <c r="A57" s="249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162"/>
      <c r="Y57" s="162"/>
      <c r="Z57" s="162"/>
    </row>
    <row r="58" spans="1:26" ht="13.5" customHeight="1" x14ac:dyDescent="0.25">
      <c r="A58" s="249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162"/>
      <c r="Y58" s="162"/>
      <c r="Z58" s="162"/>
    </row>
    <row r="59" spans="1:26" ht="13.5" customHeight="1" x14ac:dyDescent="0.25">
      <c r="A59" s="249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162"/>
      <c r="Y59" s="162"/>
      <c r="Z59" s="162"/>
    </row>
    <row r="60" spans="1:26" ht="13.5" customHeight="1" x14ac:dyDescent="0.25">
      <c r="A60" s="249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162"/>
      <c r="Y60" s="162"/>
      <c r="Z60" s="162"/>
    </row>
    <row r="61" spans="1:26" ht="13.5" customHeight="1" x14ac:dyDescent="0.25">
      <c r="A61" s="249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162"/>
      <c r="Y61" s="162"/>
      <c r="Z61" s="162"/>
    </row>
    <row r="62" spans="1:26" ht="13.5" customHeight="1" x14ac:dyDescent="0.25">
      <c r="A62" s="249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162"/>
      <c r="Y62" s="162"/>
      <c r="Z62" s="162"/>
    </row>
    <row r="63" spans="1:26" ht="13.5" customHeight="1" x14ac:dyDescent="0.25">
      <c r="A63" s="249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162"/>
      <c r="Y63" s="162"/>
      <c r="Z63" s="162"/>
    </row>
    <row r="64" spans="1:26" ht="13.5" customHeight="1" x14ac:dyDescent="0.25">
      <c r="A64" s="249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162"/>
      <c r="Y64" s="162"/>
      <c r="Z64" s="162"/>
    </row>
    <row r="65" spans="1:26" ht="13.5" customHeight="1" x14ac:dyDescent="0.25">
      <c r="A65" s="249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162"/>
      <c r="Y65" s="162"/>
      <c r="Z65" s="162"/>
    </row>
    <row r="66" spans="1:26" ht="13.5" customHeight="1" x14ac:dyDescent="0.25">
      <c r="A66" s="249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162"/>
      <c r="Y66" s="162"/>
      <c r="Z66" s="162"/>
    </row>
    <row r="67" spans="1:26" ht="13.5" customHeight="1" x14ac:dyDescent="0.25">
      <c r="A67" s="249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162"/>
      <c r="Y67" s="162"/>
      <c r="Z67" s="162"/>
    </row>
    <row r="68" spans="1:26" ht="13.5" customHeight="1" x14ac:dyDescent="0.25">
      <c r="A68" s="249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162"/>
      <c r="Y68" s="162"/>
      <c r="Z68" s="162"/>
    </row>
    <row r="69" spans="1:26" ht="13.5" customHeight="1" x14ac:dyDescent="0.25">
      <c r="A69" s="249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162"/>
      <c r="Y69" s="162"/>
      <c r="Z69" s="162"/>
    </row>
    <row r="70" spans="1:26" ht="13.5" customHeight="1" x14ac:dyDescent="0.25">
      <c r="A70" s="249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162"/>
      <c r="Y70" s="162"/>
      <c r="Z70" s="162"/>
    </row>
    <row r="71" spans="1:26" ht="13.5" customHeight="1" x14ac:dyDescent="0.25">
      <c r="A71" s="249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162"/>
      <c r="Y72" s="162"/>
      <c r="Z72" s="162"/>
    </row>
    <row r="73" spans="1:26" ht="13.5" customHeight="1" x14ac:dyDescent="0.25">
      <c r="A73" s="249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162"/>
      <c r="Y73" s="162"/>
      <c r="Z73" s="162"/>
    </row>
    <row r="74" spans="1:26" ht="13.5" customHeight="1" x14ac:dyDescent="0.25">
      <c r="A74" s="249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162"/>
      <c r="Y74" s="162"/>
      <c r="Z74" s="162"/>
    </row>
    <row r="75" spans="1:26" ht="13.5" customHeight="1" x14ac:dyDescent="0.25">
      <c r="A75" s="249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162"/>
      <c r="Y75" s="162"/>
      <c r="Z75" s="162"/>
    </row>
    <row r="76" spans="1:26" ht="13.5" customHeight="1" x14ac:dyDescent="0.25">
      <c r="A76" s="249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162"/>
      <c r="Y76" s="162"/>
      <c r="Z76" s="162"/>
    </row>
    <row r="77" spans="1:26" ht="13.5" customHeight="1" x14ac:dyDescent="0.25">
      <c r="A77" s="249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162"/>
      <c r="Y77" s="162"/>
      <c r="Z77" s="162"/>
    </row>
    <row r="78" spans="1:26" ht="13.5" customHeight="1" x14ac:dyDescent="0.25">
      <c r="A78" s="249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162"/>
      <c r="Y78" s="162"/>
      <c r="Z78" s="162"/>
    </row>
    <row r="79" spans="1:26" ht="13.5" customHeight="1" x14ac:dyDescent="0.25">
      <c r="A79" s="249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162"/>
      <c r="Y79" s="162"/>
      <c r="Z79" s="162"/>
    </row>
    <row r="80" spans="1:26" ht="13.5" customHeight="1" x14ac:dyDescent="0.25">
      <c r="A80" s="249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162"/>
      <c r="Y80" s="162"/>
      <c r="Z80" s="162"/>
    </row>
    <row r="81" spans="1:26" ht="13.5" customHeight="1" x14ac:dyDescent="0.25">
      <c r="A81" s="249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162"/>
      <c r="Y232" s="162"/>
      <c r="Z232" s="162"/>
    </row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E2:G2"/>
    <mergeCell ref="A3:B3"/>
  </mergeCells>
  <hyperlinks>
    <hyperlink ref="B6" location="null!A1" display="Technical manpower" xr:uid="{00000000-0004-0000-1100-000000000000}"/>
    <hyperlink ref="B7" location="null!A1" display="HK Manpower" xr:uid="{00000000-0004-0000-1100-000001000000}"/>
    <hyperlink ref="B8" location="null!A1" display="LP Manpower -Security Services " xr:uid="{00000000-0004-0000-1100-000002000000}"/>
    <hyperlink ref="B9" location="null!A1" display="AMC" xr:uid="{00000000-0004-0000-1100-000003000000}"/>
    <hyperlink ref="B11" location="null!A1" display="Consumables" xr:uid="{00000000-0004-0000-1100-000004000000}"/>
    <hyperlink ref="B17" location="null!A1" display="Liosaning &amp; Licenses" xr:uid="{00000000-0004-0000-1100-000005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25" customWidth="1"/>
    <col min="7" max="7" width="10.5703125" customWidth="1"/>
    <col min="8" max="8" width="9.28515625" customWidth="1"/>
    <col min="9" max="26" width="12.42578125" customWidth="1"/>
  </cols>
  <sheetData>
    <row r="1" spans="1:26" x14ac:dyDescent="0.25">
      <c r="A1" s="381" t="s">
        <v>312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'CAM-Jan`24'!H22</f>
        <v>8.5462787621304326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28296.728981413864</v>
      </c>
      <c r="G5" s="110">
        <f>C5*65%</f>
        <v>2152.15</v>
      </c>
      <c r="H5" s="111">
        <f>F5/G5</f>
        <v>13.148121172508358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32612.599756289732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32595.50719876547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31176.824924251818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29365.013826680166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23271.517069281166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11802.410970502127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6452.4404654084765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57473.724675327161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65686.698565734507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83018.551895335026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81309.296142908934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C24*'CAM-Jan`24'!G22</f>
        <v>885129.61432084383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115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109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128">
        <f>C30*F2</f>
        <v>17092.557524260865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130">
        <f>C31*F2</f>
        <v>5016.6656333705641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130">
        <f>C32*F2</f>
        <v>26066.150224497818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115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109">
        <f>C34*F2</f>
        <v>97641.234857340198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109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130">
        <f>C36*F2</f>
        <v>18425.777011153212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130">
        <f>C37*F2</f>
        <v>17716.435873896386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130">
        <f>C38*F2</f>
        <v>25014.957936755774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130">
        <f>C39*F2</f>
        <v>11118.708669531692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115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109">
        <f>C41*F2</f>
        <v>74344.078951772637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115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115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17955.73167923604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97641.234857340198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72275.879491337066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74344.078951772637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48175.373382129248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97641.234857340198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134">
        <f>C57*F2</f>
        <v>33817.625061750121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134">
        <f>C58*F2</f>
        <v>12819.418143195649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134">
        <f>C59*F2</f>
        <v>12819.418143195649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134">
        <f>C60*F2</f>
        <v>12819.418143195649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15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74344.078951772637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15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15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48175.373382129248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25638.836286391299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8546.2787621304324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29271.004760296732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8546.2787621304324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17092.557524260865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8546.2787621304324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19656.441152899995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8546.2787621304324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9853.8594127363885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9845.3131339742577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9845.3131339742577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7264.336947810868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7264.336947810868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74344.078951772637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22109.22315763143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26066.150224497818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25878.132091730949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22938.212197558081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25878.132091730949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22946.75847632021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72275.879491337066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74344.078951772637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17955.73167923604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95427.74865794841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2213.4861993917821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65293.569742676504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6982.3097486605639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74344.078951772637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13674.046019408692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8435.1771382227362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26066.150224497818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48816.344289289031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48824.89056805116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10588.839386279606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10597.385665041737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10588.839386279606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10588.839386279606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6837.0230097043459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6837.0230097043459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9400.9066383434765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6837.0230097043459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39509.446717328989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16212.29081176143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18622.341422682213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48175.373382129248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97641.234857340198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16554.141962246649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55721.737529090424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74344.078951772637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3647244.1788475891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28515625" customWidth="1"/>
    <col min="2" max="2" width="63.42578125" customWidth="1"/>
    <col min="3" max="3" width="17.42578125" customWidth="1"/>
    <col min="4" max="4" width="11.5703125" customWidth="1"/>
    <col min="5" max="5" width="16.140625" customWidth="1"/>
    <col min="6" max="6" width="7.7109375" customWidth="1"/>
    <col min="7" max="7" width="17.42578125" customWidth="1"/>
    <col min="8" max="8" width="17.7109375" customWidth="1"/>
    <col min="9" max="9" width="18.7109375" customWidth="1"/>
    <col min="10" max="10" width="13.28515625" customWidth="1"/>
    <col min="11" max="23" width="9" customWidth="1"/>
  </cols>
  <sheetData>
    <row r="1" spans="1:26" ht="28.5" customHeight="1" x14ac:dyDescent="0.25">
      <c r="A1" s="410" t="s">
        <v>313</v>
      </c>
      <c r="B1" s="382"/>
      <c r="C1" s="382"/>
      <c r="D1" s="382"/>
      <c r="E1" s="382"/>
      <c r="F1" s="382"/>
      <c r="G1" s="382"/>
      <c r="H1" s="383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162"/>
      <c r="Y1" s="162"/>
      <c r="Z1" s="162"/>
    </row>
    <row r="2" spans="1:26" ht="28.5" customHeight="1" x14ac:dyDescent="0.25">
      <c r="A2" s="262"/>
      <c r="B2" s="164" t="s">
        <v>107</v>
      </c>
      <c r="C2" s="165" t="s">
        <v>108</v>
      </c>
      <c r="D2" s="166">
        <v>490749</v>
      </c>
      <c r="E2" s="411" t="s">
        <v>290</v>
      </c>
      <c r="F2" s="385"/>
      <c r="G2" s="412"/>
      <c r="H2" s="167" t="s">
        <v>291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162"/>
      <c r="Y2" s="162"/>
      <c r="Z2" s="162"/>
    </row>
    <row r="3" spans="1:26" ht="28.5" customHeight="1" x14ac:dyDescent="0.25">
      <c r="A3" s="413" t="s">
        <v>109</v>
      </c>
      <c r="B3" s="414"/>
      <c r="C3" s="168" t="s">
        <v>110</v>
      </c>
      <c r="D3" s="169">
        <f>SUM(D5:D17)</f>
        <v>5.7598857266030192</v>
      </c>
      <c r="E3" s="170" t="s">
        <v>36</v>
      </c>
      <c r="F3" s="171" t="s">
        <v>292</v>
      </c>
      <c r="G3" s="172">
        <v>167554</v>
      </c>
      <c r="H3" s="173">
        <f>D2-G3</f>
        <v>323195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162"/>
      <c r="Y3" s="162"/>
      <c r="Z3" s="162"/>
    </row>
    <row r="4" spans="1:26" ht="28.5" customHeight="1" x14ac:dyDescent="0.25">
      <c r="A4" s="174" t="s">
        <v>33</v>
      </c>
      <c r="B4" s="175" t="s">
        <v>34</v>
      </c>
      <c r="C4" s="176" t="s">
        <v>111</v>
      </c>
      <c r="D4" s="177" t="s">
        <v>112</v>
      </c>
      <c r="E4" s="178"/>
      <c r="F4" s="179"/>
      <c r="G4" s="180"/>
      <c r="H4" s="181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162"/>
      <c r="Y4" s="162"/>
      <c r="Z4" s="162"/>
    </row>
    <row r="5" spans="1:26" ht="28.5" customHeight="1" x14ac:dyDescent="0.25">
      <c r="A5" s="182">
        <v>1</v>
      </c>
      <c r="B5" s="183" t="s">
        <v>314</v>
      </c>
      <c r="C5" s="184">
        <f>262200+77500</f>
        <v>339700</v>
      </c>
      <c r="D5" s="185">
        <f>C5/D2</f>
        <v>0.69220721794644513</v>
      </c>
      <c r="E5" s="186"/>
      <c r="F5" s="187"/>
      <c r="G5" s="188">
        <f>G3*D5</f>
        <v>115982.08819579867</v>
      </c>
      <c r="H5" s="189">
        <f>H3*D5</f>
        <v>223717.91180420134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162"/>
      <c r="Y5" s="162"/>
      <c r="Z5" s="162"/>
    </row>
    <row r="6" spans="1:26" ht="28.5" customHeight="1" x14ac:dyDescent="0.25">
      <c r="A6" s="182">
        <v>2</v>
      </c>
      <c r="B6" s="194" t="s">
        <v>315</v>
      </c>
      <c r="C6" s="184">
        <v>396050.84</v>
      </c>
      <c r="D6" s="185">
        <f>C6/D2</f>
        <v>0.80703341219238356</v>
      </c>
      <c r="E6" s="191">
        <f>C6*D28</f>
        <v>128393.97960249439</v>
      </c>
      <c r="F6" s="192">
        <f>E6/D2</f>
        <v>0.26162861178014502</v>
      </c>
      <c r="G6" s="188">
        <f>F6*G3</f>
        <v>43836.920418210415</v>
      </c>
      <c r="H6" s="189">
        <f t="shared" ref="H6:H7" si="0">C6-G6</f>
        <v>352213.91958178964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162"/>
      <c r="Y6" s="162"/>
      <c r="Z6" s="162"/>
    </row>
    <row r="7" spans="1:26" ht="28.5" customHeight="1" x14ac:dyDescent="0.25">
      <c r="A7" s="182">
        <v>3</v>
      </c>
      <c r="B7" s="190" t="s">
        <v>114</v>
      </c>
      <c r="C7" s="184">
        <v>295625</v>
      </c>
      <c r="D7" s="185">
        <f>C7/D2</f>
        <v>0.60239552194706458</v>
      </c>
      <c r="E7" s="191">
        <f>C7*D27</f>
        <v>202171.36739380762</v>
      </c>
      <c r="F7" s="192">
        <f>E7/D2</f>
        <v>0.41196490954399828</v>
      </c>
      <c r="G7" s="188">
        <f>F7*G3</f>
        <v>69026.368453735093</v>
      </c>
      <c r="H7" s="189">
        <f t="shared" si="0"/>
        <v>226598.63154626492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162"/>
      <c r="Y7" s="162"/>
      <c r="Z7" s="162"/>
    </row>
    <row r="8" spans="1:26" ht="28.5" customHeight="1" x14ac:dyDescent="0.25">
      <c r="A8" s="182">
        <v>4</v>
      </c>
      <c r="B8" s="190" t="s">
        <v>115</v>
      </c>
      <c r="C8" s="184">
        <v>776020.71</v>
      </c>
      <c r="D8" s="185">
        <f>C8/D2</f>
        <v>1.5812986068234474</v>
      </c>
      <c r="E8" s="186"/>
      <c r="F8" s="187"/>
      <c r="G8" s="188">
        <f>G3*D8</f>
        <v>264952.90676769591</v>
      </c>
      <c r="H8" s="189">
        <f>H3*D8</f>
        <v>511067.80323230405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162"/>
      <c r="Y8" s="162"/>
      <c r="Z8" s="162"/>
    </row>
    <row r="9" spans="1:26" ht="28.5" customHeight="1" x14ac:dyDescent="0.25">
      <c r="A9" s="182">
        <v>5</v>
      </c>
      <c r="B9" s="190" t="s">
        <v>116</v>
      </c>
      <c r="C9" s="184">
        <f>45000+5000+6000</f>
        <v>56000</v>
      </c>
      <c r="D9" s="185">
        <f>C9/D2</f>
        <v>0.11411128703267862</v>
      </c>
      <c r="E9" s="186"/>
      <c r="F9" s="187"/>
      <c r="G9" s="188">
        <f>D9*G3</f>
        <v>19119.802587473434</v>
      </c>
      <c r="H9" s="189">
        <f>C9-G9</f>
        <v>36880.19741252657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162"/>
      <c r="Y9" s="162"/>
      <c r="Z9" s="162"/>
    </row>
    <row r="10" spans="1:26" ht="28.5" customHeight="1" x14ac:dyDescent="0.25">
      <c r="A10" s="182">
        <v>6</v>
      </c>
      <c r="B10" s="190" t="s">
        <v>117</v>
      </c>
      <c r="C10" s="184">
        <v>0</v>
      </c>
      <c r="D10" s="185">
        <v>0</v>
      </c>
      <c r="E10" s="186"/>
      <c r="F10" s="187"/>
      <c r="G10" s="188">
        <v>0</v>
      </c>
      <c r="H10" s="189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162"/>
      <c r="Y10" s="162"/>
      <c r="Z10" s="162"/>
    </row>
    <row r="11" spans="1:26" ht="28.5" customHeight="1" x14ac:dyDescent="0.25">
      <c r="A11" s="182">
        <v>7</v>
      </c>
      <c r="B11" s="190" t="s">
        <v>118</v>
      </c>
      <c r="C11" s="184">
        <v>22313</v>
      </c>
      <c r="D11" s="185">
        <f>C11/D2</f>
        <v>4.5467234777859966E-2</v>
      </c>
      <c r="E11" s="191">
        <f>C11*D27</f>
        <v>15259.364805608557</v>
      </c>
      <c r="F11" s="192">
        <f>E11/D2</f>
        <v>3.1094031379806288E-2</v>
      </c>
      <c r="G11" s="188">
        <f>F11*G3</f>
        <v>5209.9293338120624</v>
      </c>
      <c r="H11" s="189">
        <f>C11-G11</f>
        <v>17103.070666187938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162"/>
      <c r="Y11" s="162"/>
      <c r="Z11" s="162"/>
    </row>
    <row r="12" spans="1:26" ht="28.5" customHeight="1" x14ac:dyDescent="0.25">
      <c r="A12" s="182">
        <v>8</v>
      </c>
      <c r="B12" s="183" t="s">
        <v>294</v>
      </c>
      <c r="C12" s="184">
        <v>0</v>
      </c>
      <c r="D12" s="185">
        <v>0</v>
      </c>
      <c r="E12" s="191"/>
      <c r="F12" s="192"/>
      <c r="G12" s="188">
        <v>0</v>
      </c>
      <c r="H12" s="189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162"/>
      <c r="Y12" s="162"/>
      <c r="Z12" s="162"/>
    </row>
    <row r="13" spans="1:26" ht="28.5" customHeight="1" x14ac:dyDescent="0.25">
      <c r="A13" s="182">
        <v>9</v>
      </c>
      <c r="B13" s="183" t="s">
        <v>316</v>
      </c>
      <c r="C13" s="195">
        <v>711634.4017341421</v>
      </c>
      <c r="D13" s="196">
        <f>C13/D2</f>
        <v>1.4500985264038075</v>
      </c>
      <c r="E13" s="191">
        <f>+C13*D28</f>
        <v>230701.62623739603</v>
      </c>
      <c r="F13" s="192">
        <f>+E13/D2</f>
        <v>0.47010106233002213</v>
      </c>
      <c r="G13" s="188">
        <f>+F13*G3</f>
        <v>78767.313397644524</v>
      </c>
      <c r="H13" s="189">
        <f t="shared" ref="H13:H14" si="1">C13-G13</f>
        <v>632867.08833649755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162"/>
      <c r="Y13" s="162"/>
      <c r="Z13" s="162"/>
    </row>
    <row r="14" spans="1:26" ht="28.5" customHeight="1" x14ac:dyDescent="0.25">
      <c r="A14" s="182">
        <v>10</v>
      </c>
      <c r="B14" s="183" t="s">
        <v>317</v>
      </c>
      <c r="C14" s="184">
        <f>181236.00569273-C15</f>
        <v>113524.20871056263</v>
      </c>
      <c r="D14" s="185">
        <f>C14/D2</f>
        <v>0.23132845652372724</v>
      </c>
      <c r="E14" s="186"/>
      <c r="F14" s="187"/>
      <c r="G14" s="188">
        <f>G3*D14</f>
        <v>38760.008204376594</v>
      </c>
      <c r="H14" s="189">
        <f t="shared" si="1"/>
        <v>74764.200506186025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162"/>
      <c r="Y14" s="162"/>
      <c r="Z14" s="162"/>
    </row>
    <row r="15" spans="1:26" ht="28.5" customHeight="1" x14ac:dyDescent="0.25">
      <c r="A15" s="182">
        <v>11</v>
      </c>
      <c r="B15" s="183" t="s">
        <v>48</v>
      </c>
      <c r="C15" s="184">
        <f>E32</f>
        <v>67711.796982167361</v>
      </c>
      <c r="D15" s="185"/>
      <c r="E15" s="186"/>
      <c r="F15" s="187"/>
      <c r="G15" s="188"/>
      <c r="H15" s="189">
        <f>C15</f>
        <v>67711.796982167361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162"/>
      <c r="Y15" s="162"/>
      <c r="Z15" s="162"/>
    </row>
    <row r="16" spans="1:26" ht="28.5" customHeight="1" x14ac:dyDescent="0.25">
      <c r="A16" s="182">
        <v>12</v>
      </c>
      <c r="B16" s="263" t="s">
        <v>274</v>
      </c>
      <c r="C16" s="184">
        <f>2000+74250+3100+36440</f>
        <v>115790</v>
      </c>
      <c r="D16" s="185">
        <f>C16/D2</f>
        <v>0.23594546295560459</v>
      </c>
      <c r="E16" s="186"/>
      <c r="F16" s="187"/>
      <c r="G16" s="188">
        <f>D16*G3</f>
        <v>39533.606100063371</v>
      </c>
      <c r="H16" s="189">
        <f>C16-G16</f>
        <v>76256.393899936636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162"/>
      <c r="Y16" s="162"/>
      <c r="Z16" s="162"/>
    </row>
    <row r="17" spans="1:26" ht="28.5" customHeight="1" x14ac:dyDescent="0.25">
      <c r="A17" s="198">
        <v>13</v>
      </c>
      <c r="B17" s="90" t="s">
        <v>318</v>
      </c>
      <c r="C17" s="200">
        <v>0</v>
      </c>
      <c r="D17" s="201">
        <f>C17/D2</f>
        <v>0</v>
      </c>
      <c r="E17" s="202"/>
      <c r="F17" s="203"/>
      <c r="G17" s="204"/>
      <c r="H17" s="264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162"/>
      <c r="Y17" s="162"/>
      <c r="Z17" s="162"/>
    </row>
    <row r="18" spans="1:26" ht="20.25" customHeight="1" x14ac:dyDescent="0.25">
      <c r="A18" s="265" t="s">
        <v>124</v>
      </c>
      <c r="B18" s="266" t="s">
        <v>51</v>
      </c>
      <c r="C18" s="267">
        <f>SUM(C5:C17)</f>
        <v>2894369.9574268721</v>
      </c>
      <c r="D18" s="268"/>
      <c r="E18" s="269"/>
      <c r="F18" s="270"/>
      <c r="G18" s="271">
        <f t="shared" ref="G18:H18" si="2">SUM(G5:G17)</f>
        <v>675188.9434588101</v>
      </c>
      <c r="H18" s="272">
        <f t="shared" si="2"/>
        <v>2219181.0139680621</v>
      </c>
      <c r="I18" s="214"/>
      <c r="J18" s="250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162"/>
      <c r="Y18" s="162"/>
      <c r="Z18" s="162"/>
    </row>
    <row r="19" spans="1:26" ht="20.25" customHeight="1" x14ac:dyDescent="0.25">
      <c r="A19" s="163">
        <v>14</v>
      </c>
      <c r="B19" s="273" t="s">
        <v>125</v>
      </c>
      <c r="C19" s="274">
        <f>C18*2%</f>
        <v>57887.399148537443</v>
      </c>
      <c r="D19" s="275"/>
      <c r="E19" s="276"/>
      <c r="F19" s="277"/>
      <c r="G19" s="278">
        <f>G18*2%</f>
        <v>13503.778869176202</v>
      </c>
      <c r="H19" s="279">
        <f t="shared" ref="H19:H20" si="3">C19-G19</f>
        <v>44383.620279361239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162"/>
      <c r="Y19" s="162"/>
      <c r="Z19" s="162"/>
    </row>
    <row r="20" spans="1:26" ht="20.25" customHeight="1" x14ac:dyDescent="0.25">
      <c r="A20" s="223">
        <v>15</v>
      </c>
      <c r="B20" s="224" t="s">
        <v>53</v>
      </c>
      <c r="C20" s="225">
        <v>490749</v>
      </c>
      <c r="D20" s="226">
        <f>C20/D2</f>
        <v>1</v>
      </c>
      <c r="E20" s="227"/>
      <c r="F20" s="69"/>
      <c r="G20" s="228">
        <f>D20*G3</f>
        <v>167554</v>
      </c>
      <c r="H20" s="229">
        <f t="shared" si="3"/>
        <v>323195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162"/>
      <c r="Y20" s="162"/>
      <c r="Z20" s="162"/>
    </row>
    <row r="21" spans="1:26" ht="20.25" customHeight="1" x14ac:dyDescent="0.25">
      <c r="A21" s="170"/>
      <c r="B21" s="280" t="s">
        <v>54</v>
      </c>
      <c r="C21" s="281">
        <f>C18+C19+C20</f>
        <v>3443006.3565754094</v>
      </c>
      <c r="D21" s="282"/>
      <c r="E21" s="283"/>
      <c r="F21" s="284"/>
      <c r="G21" s="285">
        <f t="shared" ref="G21:H21" si="4">G18+G19+G20</f>
        <v>856246.72232798627</v>
      </c>
      <c r="H21" s="286">
        <f t="shared" si="4"/>
        <v>2586759.6342474231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162"/>
      <c r="Y21" s="162"/>
      <c r="Z21" s="162"/>
    </row>
    <row r="22" spans="1:26" ht="22.5" customHeight="1" x14ac:dyDescent="0.25">
      <c r="A22" s="287" t="s">
        <v>126</v>
      </c>
      <c r="B22" s="288" t="s">
        <v>55</v>
      </c>
      <c r="C22" s="289">
        <f>(C19+C20+C18)/D2</f>
        <v>7.0158194037591715</v>
      </c>
      <c r="D22" s="290"/>
      <c r="E22" s="291"/>
      <c r="F22" s="292"/>
      <c r="G22" s="293">
        <f>(G18+G19+G20)/G3</f>
        <v>5.1102732392421926</v>
      </c>
      <c r="H22" s="294">
        <f>(H19+H20+H18)/H3</f>
        <v>8.0037117970495313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162"/>
      <c r="Y22" s="162"/>
      <c r="Z22" s="162"/>
    </row>
    <row r="23" spans="1:26" ht="13.5" customHeight="1" x14ac:dyDescent="0.25">
      <c r="A23" s="246"/>
      <c r="B23" s="68"/>
      <c r="C23" s="68"/>
      <c r="D23" s="247"/>
      <c r="E23" s="68"/>
      <c r="F23" s="68"/>
      <c r="G23" s="248"/>
      <c r="H23" s="24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162"/>
      <c r="Y23" s="162"/>
      <c r="Z23" s="162"/>
    </row>
    <row r="24" spans="1:26" ht="13.5" customHeight="1" x14ac:dyDescent="0.25">
      <c r="A24" s="249"/>
      <c r="B24" s="68"/>
      <c r="C24" s="250"/>
      <c r="D24" s="68"/>
      <c r="E24" s="68"/>
      <c r="F24" s="68"/>
      <c r="G24" s="250"/>
      <c r="H24" s="250"/>
      <c r="I24" s="250"/>
      <c r="J24" s="250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162"/>
      <c r="Y24" s="162"/>
      <c r="Z24" s="162"/>
    </row>
    <row r="25" spans="1:26" ht="32.25" customHeight="1" x14ac:dyDescent="0.25">
      <c r="A25" s="251" t="s">
        <v>298</v>
      </c>
      <c r="B25" s="251" t="s">
        <v>34</v>
      </c>
      <c r="C25" s="252" t="s">
        <v>299</v>
      </c>
      <c r="D25" s="253" t="s">
        <v>300</v>
      </c>
      <c r="E25" s="253" t="s">
        <v>69</v>
      </c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162"/>
      <c r="Y25" s="162"/>
      <c r="Z25" s="162"/>
    </row>
    <row r="26" spans="1:26" ht="13.5" customHeight="1" x14ac:dyDescent="0.25">
      <c r="A26" s="254">
        <v>1</v>
      </c>
      <c r="B26" s="255" t="s">
        <v>319</v>
      </c>
      <c r="C26" s="256">
        <v>381481.8729539999</v>
      </c>
      <c r="D26" s="254"/>
      <c r="E26" s="254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162"/>
      <c r="Y26" s="162"/>
      <c r="Z26" s="162"/>
    </row>
    <row r="27" spans="1:26" ht="13.5" customHeight="1" x14ac:dyDescent="0.25">
      <c r="A27" s="254">
        <v>2</v>
      </c>
      <c r="B27" s="255" t="s">
        <v>302</v>
      </c>
      <c r="C27" s="256">
        <v>260886.97468434996</v>
      </c>
      <c r="D27" s="257">
        <f>C27/C26</f>
        <v>0.68387777553930695</v>
      </c>
      <c r="E27" s="254" t="s">
        <v>303</v>
      </c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162"/>
      <c r="Y27" s="162"/>
      <c r="Z27" s="162"/>
    </row>
    <row r="28" spans="1:26" ht="13.5" customHeight="1" x14ac:dyDescent="0.25">
      <c r="A28" s="254">
        <v>3</v>
      </c>
      <c r="B28" s="255" t="s">
        <v>302</v>
      </c>
      <c r="C28" s="256">
        <v>123670.93026434995</v>
      </c>
      <c r="D28" s="257">
        <f>C28/C26</f>
        <v>0.32418560102661159</v>
      </c>
      <c r="E28" s="254" t="s">
        <v>304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162"/>
      <c r="Y28" s="162"/>
      <c r="Z28" s="162"/>
    </row>
    <row r="29" spans="1:26" ht="13.5" customHeight="1" x14ac:dyDescent="0.25">
      <c r="A29" s="254">
        <v>4</v>
      </c>
      <c r="B29" s="255" t="s">
        <v>305</v>
      </c>
      <c r="C29" s="256"/>
      <c r="D29" s="257"/>
      <c r="E29" s="254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162"/>
      <c r="Y29" s="162"/>
      <c r="Z29" s="162"/>
    </row>
    <row r="30" spans="1:26" ht="13.5" customHeight="1" x14ac:dyDescent="0.25">
      <c r="A30" s="249"/>
      <c r="B30" s="258"/>
      <c r="C30" s="259"/>
      <c r="D30" s="260"/>
      <c r="E30" s="249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162"/>
      <c r="Y30" s="162"/>
      <c r="Z30" s="162"/>
    </row>
    <row r="31" spans="1:26" ht="13.5" customHeight="1" x14ac:dyDescent="0.25">
      <c r="A31" s="261" t="s">
        <v>298</v>
      </c>
      <c r="B31" s="261" t="s">
        <v>320</v>
      </c>
      <c r="C31" s="261" t="s">
        <v>307</v>
      </c>
      <c r="D31" s="261" t="s">
        <v>308</v>
      </c>
      <c r="E31" s="261" t="s">
        <v>309</v>
      </c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162"/>
      <c r="Y31" s="162"/>
      <c r="Z31" s="162"/>
    </row>
    <row r="32" spans="1:26" ht="13.5" customHeight="1" x14ac:dyDescent="0.25">
      <c r="A32" s="254">
        <v>1</v>
      </c>
      <c r="B32" s="187" t="s">
        <v>321</v>
      </c>
      <c r="C32" s="187">
        <v>302</v>
      </c>
      <c r="D32" s="192">
        <v>224.21124828532237</v>
      </c>
      <c r="E32" s="192">
        <f>C32*D32</f>
        <v>67711.796982167361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162"/>
      <c r="Y32" s="162"/>
      <c r="Z32" s="162"/>
    </row>
    <row r="33" spans="1:26" ht="13.5" customHeight="1" x14ac:dyDescent="0.25">
      <c r="A33" s="249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162"/>
      <c r="Y34" s="162"/>
      <c r="Z34" s="162"/>
    </row>
    <row r="35" spans="1:26" ht="13.5" customHeight="1" x14ac:dyDescent="0.25">
      <c r="A35" s="249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162"/>
      <c r="Y35" s="162"/>
      <c r="Z35" s="162"/>
    </row>
    <row r="36" spans="1:26" ht="13.5" customHeight="1" x14ac:dyDescent="0.25">
      <c r="A36" s="249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162"/>
      <c r="Y36" s="162"/>
      <c r="Z36" s="162"/>
    </row>
    <row r="37" spans="1:26" ht="13.5" customHeight="1" x14ac:dyDescent="0.25">
      <c r="A37" s="249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162"/>
      <c r="Y37" s="162"/>
      <c r="Z37" s="162"/>
    </row>
    <row r="38" spans="1:26" ht="13.5" customHeight="1" x14ac:dyDescent="0.25">
      <c r="A38" s="249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162"/>
      <c r="Y38" s="162"/>
      <c r="Z38" s="162"/>
    </row>
    <row r="39" spans="1:26" ht="13.5" customHeight="1" x14ac:dyDescent="0.25">
      <c r="A39" s="249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162"/>
      <c r="Y39" s="162"/>
      <c r="Z39" s="162"/>
    </row>
    <row r="40" spans="1:26" ht="13.5" customHeight="1" x14ac:dyDescent="0.25">
      <c r="A40" s="24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162"/>
      <c r="Y40" s="162"/>
      <c r="Z40" s="162"/>
    </row>
    <row r="41" spans="1:26" ht="13.5" customHeight="1" x14ac:dyDescent="0.25">
      <c r="A41" s="249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162"/>
      <c r="Y41" s="162"/>
      <c r="Z41" s="162"/>
    </row>
    <row r="42" spans="1:26" ht="13.5" customHeight="1" x14ac:dyDescent="0.25">
      <c r="A42" s="249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162"/>
      <c r="Y42" s="162"/>
      <c r="Z42" s="162"/>
    </row>
    <row r="43" spans="1:26" ht="13.5" customHeight="1" x14ac:dyDescent="0.25">
      <c r="A43" s="249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162"/>
      <c r="Y43" s="162"/>
      <c r="Z43" s="162"/>
    </row>
    <row r="44" spans="1:26" ht="13.5" customHeight="1" x14ac:dyDescent="0.25">
      <c r="A44" s="249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162"/>
      <c r="Y44" s="162"/>
      <c r="Z44" s="162"/>
    </row>
    <row r="45" spans="1:26" ht="13.5" customHeight="1" x14ac:dyDescent="0.25">
      <c r="A45" s="249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162"/>
      <c r="Y45" s="162"/>
      <c r="Z45" s="162"/>
    </row>
    <row r="46" spans="1:26" ht="13.5" customHeight="1" x14ac:dyDescent="0.25">
      <c r="A46" s="249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162"/>
      <c r="Y46" s="162"/>
      <c r="Z46" s="162"/>
    </row>
    <row r="47" spans="1:26" ht="13.5" customHeight="1" x14ac:dyDescent="0.25">
      <c r="A47" s="249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162"/>
      <c r="Y47" s="162"/>
      <c r="Z47" s="162"/>
    </row>
    <row r="48" spans="1:26" ht="13.5" customHeight="1" x14ac:dyDescent="0.25">
      <c r="A48" s="249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162"/>
      <c r="Y48" s="162"/>
      <c r="Z48" s="162"/>
    </row>
    <row r="49" spans="1:26" ht="13.5" customHeight="1" x14ac:dyDescent="0.25">
      <c r="A49" s="249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162"/>
      <c r="Y49" s="162"/>
      <c r="Z49" s="162"/>
    </row>
    <row r="50" spans="1:26" ht="13.5" customHeight="1" x14ac:dyDescent="0.25">
      <c r="A50" s="249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162"/>
      <c r="Y50" s="162"/>
      <c r="Z50" s="162"/>
    </row>
    <row r="51" spans="1:26" ht="13.5" customHeight="1" x14ac:dyDescent="0.25">
      <c r="A51" s="249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162"/>
      <c r="Y51" s="162"/>
      <c r="Z51" s="162"/>
    </row>
    <row r="52" spans="1:26" ht="13.5" customHeight="1" x14ac:dyDescent="0.25">
      <c r="A52" s="249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162"/>
      <c r="Y52" s="162"/>
      <c r="Z52" s="162"/>
    </row>
    <row r="53" spans="1:26" ht="13.5" customHeight="1" x14ac:dyDescent="0.25">
      <c r="A53" s="249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162"/>
      <c r="Y53" s="162"/>
      <c r="Z53" s="162"/>
    </row>
    <row r="54" spans="1:26" ht="13.5" customHeight="1" x14ac:dyDescent="0.25">
      <c r="A54" s="249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162"/>
      <c r="Y54" s="162"/>
      <c r="Z54" s="162"/>
    </row>
    <row r="55" spans="1:26" ht="13.5" customHeight="1" x14ac:dyDescent="0.25">
      <c r="A55" s="249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162"/>
      <c r="Y55" s="162"/>
      <c r="Z55" s="162"/>
    </row>
    <row r="56" spans="1:26" ht="13.5" customHeight="1" x14ac:dyDescent="0.25">
      <c r="A56" s="249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162"/>
      <c r="Y56" s="162"/>
      <c r="Z56" s="162"/>
    </row>
    <row r="57" spans="1:26" ht="13.5" customHeight="1" x14ac:dyDescent="0.25">
      <c r="A57" s="249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162"/>
      <c r="Y57" s="162"/>
      <c r="Z57" s="162"/>
    </row>
    <row r="58" spans="1:26" ht="13.5" customHeight="1" x14ac:dyDescent="0.25">
      <c r="A58" s="249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162"/>
      <c r="Y58" s="162"/>
      <c r="Z58" s="162"/>
    </row>
    <row r="59" spans="1:26" ht="13.5" customHeight="1" x14ac:dyDescent="0.25">
      <c r="A59" s="249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162"/>
      <c r="Y59" s="162"/>
      <c r="Z59" s="162"/>
    </row>
    <row r="60" spans="1:26" ht="13.5" customHeight="1" x14ac:dyDescent="0.25">
      <c r="A60" s="249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162"/>
      <c r="Y60" s="162"/>
      <c r="Z60" s="162"/>
    </row>
    <row r="61" spans="1:26" ht="13.5" customHeight="1" x14ac:dyDescent="0.25">
      <c r="A61" s="249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162"/>
      <c r="Y61" s="162"/>
      <c r="Z61" s="162"/>
    </row>
    <row r="62" spans="1:26" ht="13.5" customHeight="1" x14ac:dyDescent="0.25">
      <c r="A62" s="249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162"/>
      <c r="Y62" s="162"/>
      <c r="Z62" s="162"/>
    </row>
    <row r="63" spans="1:26" ht="13.5" customHeight="1" x14ac:dyDescent="0.25">
      <c r="A63" s="249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162"/>
      <c r="Y63" s="162"/>
      <c r="Z63" s="162"/>
    </row>
    <row r="64" spans="1:26" ht="13.5" customHeight="1" x14ac:dyDescent="0.25">
      <c r="A64" s="249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162"/>
      <c r="Y64" s="162"/>
      <c r="Z64" s="162"/>
    </row>
    <row r="65" spans="1:26" ht="13.5" customHeight="1" x14ac:dyDescent="0.25">
      <c r="A65" s="249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162"/>
      <c r="Y65" s="162"/>
      <c r="Z65" s="162"/>
    </row>
    <row r="66" spans="1:26" ht="13.5" customHeight="1" x14ac:dyDescent="0.25">
      <c r="A66" s="249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162"/>
      <c r="Y66" s="162"/>
      <c r="Z66" s="162"/>
    </row>
    <row r="67" spans="1:26" ht="13.5" customHeight="1" x14ac:dyDescent="0.25">
      <c r="A67" s="249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162"/>
      <c r="Y67" s="162"/>
      <c r="Z67" s="162"/>
    </row>
    <row r="68" spans="1:26" ht="13.5" customHeight="1" x14ac:dyDescent="0.25">
      <c r="A68" s="249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162"/>
      <c r="Y68" s="162"/>
      <c r="Z68" s="162"/>
    </row>
    <row r="69" spans="1:26" ht="13.5" customHeight="1" x14ac:dyDescent="0.25">
      <c r="A69" s="249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162"/>
      <c r="Y69" s="162"/>
      <c r="Z69" s="162"/>
    </row>
    <row r="70" spans="1:26" ht="13.5" customHeight="1" x14ac:dyDescent="0.25">
      <c r="A70" s="249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162"/>
      <c r="Y70" s="162"/>
      <c r="Z70" s="162"/>
    </row>
    <row r="71" spans="1:26" ht="13.5" customHeight="1" x14ac:dyDescent="0.25">
      <c r="A71" s="249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162"/>
      <c r="Y72" s="162"/>
      <c r="Z72" s="162"/>
    </row>
    <row r="73" spans="1:26" ht="13.5" customHeight="1" x14ac:dyDescent="0.25">
      <c r="A73" s="249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162"/>
      <c r="Y73" s="162"/>
      <c r="Z73" s="162"/>
    </row>
    <row r="74" spans="1:26" ht="13.5" customHeight="1" x14ac:dyDescent="0.25">
      <c r="A74" s="249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162"/>
      <c r="Y74" s="162"/>
      <c r="Z74" s="162"/>
    </row>
    <row r="75" spans="1:26" ht="13.5" customHeight="1" x14ac:dyDescent="0.25">
      <c r="A75" s="249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162"/>
      <c r="Y75" s="162"/>
      <c r="Z75" s="162"/>
    </row>
    <row r="76" spans="1:26" ht="13.5" customHeight="1" x14ac:dyDescent="0.25">
      <c r="A76" s="249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162"/>
      <c r="Y76" s="162"/>
      <c r="Z76" s="162"/>
    </row>
    <row r="77" spans="1:26" ht="13.5" customHeight="1" x14ac:dyDescent="0.25">
      <c r="A77" s="249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162"/>
      <c r="Y77" s="162"/>
      <c r="Z77" s="162"/>
    </row>
    <row r="78" spans="1:26" ht="13.5" customHeight="1" x14ac:dyDescent="0.25">
      <c r="A78" s="249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162"/>
      <c r="Y78" s="162"/>
      <c r="Z78" s="162"/>
    </row>
    <row r="79" spans="1:26" ht="13.5" customHeight="1" x14ac:dyDescent="0.25">
      <c r="A79" s="249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162"/>
      <c r="Y79" s="162"/>
      <c r="Z79" s="162"/>
    </row>
    <row r="80" spans="1:26" ht="13.5" customHeight="1" x14ac:dyDescent="0.25">
      <c r="A80" s="249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162"/>
      <c r="Y80" s="162"/>
      <c r="Z80" s="162"/>
    </row>
    <row r="81" spans="1:26" ht="13.5" customHeight="1" x14ac:dyDescent="0.25">
      <c r="A81" s="249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162"/>
      <c r="Y232" s="162"/>
      <c r="Z232" s="162"/>
    </row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E2:G2"/>
    <mergeCell ref="A3:B3"/>
  </mergeCells>
  <hyperlinks>
    <hyperlink ref="B7" location="null!A1" display="Technical manpower" xr:uid="{00000000-0004-0000-1300-000000000000}"/>
    <hyperlink ref="B8" location="null!A1" display="HK Manpower" xr:uid="{00000000-0004-0000-1300-000001000000}"/>
    <hyperlink ref="B9" location="null!A1" display="LP Manpower -Security Services " xr:uid="{00000000-0004-0000-1300-000002000000}"/>
    <hyperlink ref="B10" location="null!A1" display="AMC" xr:uid="{00000000-0004-0000-1300-000003000000}"/>
    <hyperlink ref="B11" location="null!A1" display="Consumables" xr:uid="{00000000-0004-0000-1300-000004000000}"/>
    <hyperlink ref="B16" location="null!A1" display="Liosaning &amp; Licenses" xr:uid="{00000000-0004-0000-1300-000005000000}"/>
  </hyperlink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28515625" customWidth="1"/>
    <col min="7" max="7" width="10.5703125" customWidth="1"/>
    <col min="8" max="8" width="9.28515625" customWidth="1"/>
    <col min="9" max="26" width="12.42578125" customWidth="1"/>
  </cols>
  <sheetData>
    <row r="1" spans="1:26" x14ac:dyDescent="0.25">
      <c r="A1" s="381" t="s">
        <v>322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'CAM-Feb`24'!H22</f>
        <v>8.0037117970495313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26500.289760030999</v>
      </c>
      <c r="G5" s="110">
        <f>C5*65%</f>
        <v>2152.15</v>
      </c>
      <c r="H5" s="111">
        <f>F5/G5</f>
        <v>12.313402764691586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30542.164217541012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30526.156793946913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29197.540635636691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27500.75373466219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21794.107223365874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11053.125991725403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6042.8024067723964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53824.961835158101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61516.528872122697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77748.056396539148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76147.314037129239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C24*'CAM-Feb`24'!G22</f>
        <v>856246.72232798638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115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109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128">
        <f>C30*F2</f>
        <v>16007.423594099062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130">
        <f>C31*F2</f>
        <v>4698.178824868075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130">
        <f>C32*F2</f>
        <v>24411.32098100107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115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109">
        <f>C34*F2</f>
        <v>91442.4072812909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109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130">
        <f>C36*F2</f>
        <v>17256.002634438788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130">
        <f>C37*F2</f>
        <v>16591.694555283677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130">
        <f>C38*F2</f>
        <v>23426.864429963978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130">
        <f>C39*F2</f>
        <v>10412.829047961441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115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109">
        <f>C41*F2</f>
        <v>69624.288922533873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115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115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16815.798485601066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91442.4072812909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67687.39066764788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69624.288922533873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45116.923399968211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91442.4072812909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134">
        <f>C57*F2</f>
        <v>31670.687580924994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134">
        <f>C58*F2</f>
        <v>12005.567695574297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134">
        <f>C59*F2</f>
        <v>12005.567695574297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134">
        <f>C60*F2</f>
        <v>12005.567695574297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15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69624.288922533873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15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15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45116.923399968211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24011.135391148593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8003.711797049531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27412.712904894644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8003.711797049531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16007.423594099062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8003.711797049531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18408.537133213922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8003.711797049531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9228.2797019981099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9220.2759902010603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9220.2759902010603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6803.1550274921019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6803.1550274921019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69624.288922533873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20705.602418967137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24411.32098100107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24235.239321465982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21481.962463280943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24235.239321465982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21489.966175077992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67687.39066764788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69624.288922533873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16815.798485601066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89369.445925855063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2072.9613554358284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61148.358129458422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6539.0325381894672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69624.288922533873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12805.938875279249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7899.6635436878878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24411.32098100107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45717.201784746925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45725.205496543975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9916.5989165443698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9924.6026283414194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9916.5989165443698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9916.5989165443698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6402.9694376396246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6402.9694376396246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8804.0829767544838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6402.9694376396246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37001.159637759985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15183.04127900296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17440.088005770929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45116.923399968211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91442.4072812909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15503.189750884942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52184.200916762944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69624.288922533873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3443006.3565754113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7.42578125" customWidth="1"/>
    <col min="4" max="4" width="16" customWidth="1"/>
    <col min="5" max="5" width="14.85546875" customWidth="1"/>
    <col min="6" max="6" width="7.7109375" customWidth="1"/>
    <col min="7" max="7" width="17.42578125" customWidth="1"/>
    <col min="8" max="8" width="17.7109375" customWidth="1"/>
    <col min="9" max="9" width="18.7109375" customWidth="1"/>
    <col min="10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323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6.3031766841660044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174" t="s">
        <v>33</v>
      </c>
      <c r="B5" s="175" t="s">
        <v>34</v>
      </c>
      <c r="C5" s="176" t="s">
        <v>111</v>
      </c>
      <c r="D5" s="177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324</v>
      </c>
      <c r="C6" s="184">
        <f>262200+77500</f>
        <v>339700</v>
      </c>
      <c r="D6" s="185">
        <f>C6/D3</f>
        <v>0.69220721794644513</v>
      </c>
      <c r="E6" s="186"/>
      <c r="F6" s="187"/>
      <c r="G6" s="188">
        <f>G4*D6</f>
        <v>115982.08819579867</v>
      </c>
      <c r="H6" s="189">
        <f>H4*D6</f>
        <v>223717.91180420134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0" t="s">
        <v>114</v>
      </c>
      <c r="C7" s="184">
        <v>445788.92</v>
      </c>
      <c r="D7" s="185">
        <f>C7/D3</f>
        <v>0.9083847751090679</v>
      </c>
      <c r="E7" s="191">
        <f>C7*(D29)</f>
        <v>144518.34896120406</v>
      </c>
      <c r="F7" s="192">
        <f>E7/D3</f>
        <v>0.2944852642821566</v>
      </c>
      <c r="G7" s="188">
        <f>F7*G4</f>
        <v>49342.183971532468</v>
      </c>
      <c r="H7" s="189">
        <f t="shared" ref="H7:H8" si="0">C7-G7</f>
        <v>396446.73602846754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0" t="s">
        <v>115</v>
      </c>
      <c r="C8" s="184">
        <v>340210</v>
      </c>
      <c r="D8" s="185">
        <f>C8/D3</f>
        <v>0.69324644573906413</v>
      </c>
      <c r="E8" s="191">
        <f>C8*D28</f>
        <v>232662.05801622762</v>
      </c>
      <c r="F8" s="192">
        <f>E8/D3</f>
        <v>0.47409583721256204</v>
      </c>
      <c r="G8" s="188">
        <f>F8*G4</f>
        <v>79436.653908313616</v>
      </c>
      <c r="H8" s="189">
        <f t="shared" si="0"/>
        <v>260773.3460916864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0" t="s">
        <v>116</v>
      </c>
      <c r="C9" s="184">
        <v>680837.4</v>
      </c>
      <c r="D9" s="185">
        <f>C9/D3</f>
        <v>1.3873434281068326</v>
      </c>
      <c r="E9" s="186"/>
      <c r="F9" s="187"/>
      <c r="G9" s="188">
        <f>G4*D9</f>
        <v>232454.94075301223</v>
      </c>
      <c r="H9" s="189">
        <f>H4*D9</f>
        <v>448382.45924698777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0" t="s">
        <v>117</v>
      </c>
      <c r="C10" s="184">
        <f>45000+5000+6000</f>
        <v>56000</v>
      </c>
      <c r="D10" s="185">
        <f>C10/D3</f>
        <v>0.11411128703267862</v>
      </c>
      <c r="E10" s="186"/>
      <c r="F10" s="187"/>
      <c r="G10" s="188">
        <f>D10*G4</f>
        <v>19119.802587473434</v>
      </c>
      <c r="H10" s="189">
        <f>C10-G10</f>
        <v>36880.19741252657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0" t="s">
        <v>118</v>
      </c>
      <c r="C11" s="184">
        <v>0</v>
      </c>
      <c r="D11" s="185">
        <v>0</v>
      </c>
      <c r="E11" s="186"/>
      <c r="F11" s="187"/>
      <c r="G11" s="188">
        <v>0</v>
      </c>
      <c r="H11" s="189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325</v>
      </c>
      <c r="C12" s="184">
        <v>0</v>
      </c>
      <c r="D12" s="185">
        <f>C12/D3</f>
        <v>0</v>
      </c>
      <c r="E12" s="191">
        <f>C12*D28</f>
        <v>0</v>
      </c>
      <c r="F12" s="192">
        <f>E12/D3</f>
        <v>0</v>
      </c>
      <c r="G12" s="188">
        <f>F12*G4</f>
        <v>0</v>
      </c>
      <c r="H12" s="189">
        <f>C12-G12</f>
        <v>0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84">
        <v>0</v>
      </c>
      <c r="D13" s="185">
        <v>0</v>
      </c>
      <c r="E13" s="191"/>
      <c r="F13" s="192"/>
      <c r="G13" s="188">
        <v>0</v>
      </c>
      <c r="H13" s="189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326</v>
      </c>
      <c r="C14" s="195">
        <v>717978.53143450792</v>
      </c>
      <c r="D14" s="196">
        <f>C14/D3</f>
        <v>1.4630259693540035</v>
      </c>
      <c r="E14" s="191">
        <f>C14*(D29)</f>
        <v>232758.30173729989</v>
      </c>
      <c r="F14" s="192">
        <f>E14/D3</f>
        <v>0.47429195319256867</v>
      </c>
      <c r="G14" s="188">
        <f>F14*G4</f>
        <v>79469.513925227657</v>
      </c>
      <c r="H14" s="189">
        <f t="shared" ref="H14:H15" si="1">C14-G14</f>
        <v>638509.01750928024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327</v>
      </c>
      <c r="C15" s="184">
        <f>236879.396710526-C16</f>
        <v>162762.80314327453</v>
      </c>
      <c r="D15" s="185">
        <f>C15/D3</f>
        <v>0.33166201692367081</v>
      </c>
      <c r="E15" s="186"/>
      <c r="F15" s="187"/>
      <c r="G15" s="188">
        <f>G4*D15</f>
        <v>55571.297583628737</v>
      </c>
      <c r="H15" s="189">
        <f t="shared" si="1"/>
        <v>107191.5055596458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263" t="s">
        <v>274</v>
      </c>
      <c r="C16" s="184">
        <f>E33</f>
        <v>74116.593567251461</v>
      </c>
      <c r="D16" s="185"/>
      <c r="E16" s="186"/>
      <c r="F16" s="187"/>
      <c r="G16" s="188"/>
      <c r="H16" s="189">
        <f>C16</f>
        <v>74116.593567251461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328</v>
      </c>
      <c r="C17" s="184"/>
      <c r="D17" s="185">
        <f>C17/D3</f>
        <v>0</v>
      </c>
      <c r="E17" s="186"/>
      <c r="F17" s="187"/>
      <c r="G17" s="188">
        <f>D17*G4</f>
        <v>0</v>
      </c>
      <c r="H17" s="189">
        <f t="shared" ref="H17:H18" si="2">C17-G17</f>
        <v>0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198">
        <v>13</v>
      </c>
      <c r="B18" s="90" t="s">
        <v>329</v>
      </c>
      <c r="C18" s="200">
        <v>350000</v>
      </c>
      <c r="D18" s="201">
        <f>C18/D3</f>
        <v>0.71319554395424134</v>
      </c>
      <c r="E18" s="202"/>
      <c r="F18" s="203"/>
      <c r="G18" s="204">
        <f>D18*G4</f>
        <v>119498.76617170895</v>
      </c>
      <c r="H18" s="205">
        <f t="shared" si="2"/>
        <v>230501.23382829106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3167394.2481450336</v>
      </c>
      <c r="D19" s="268"/>
      <c r="E19" s="269"/>
      <c r="F19" s="270"/>
      <c r="G19" s="271">
        <f t="shared" ref="G19:H19" si="3">SUM(G6:G18)</f>
        <v>750875.2470966957</v>
      </c>
      <c r="H19" s="272">
        <f t="shared" si="3"/>
        <v>2416519.0010483386</v>
      </c>
      <c r="I19" s="214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f>C19*2%</f>
        <v>63347.884962900673</v>
      </c>
      <c r="D20" s="275">
        <f>C20/D3</f>
        <v>0.12908408364133328</v>
      </c>
      <c r="E20" s="276"/>
      <c r="F20" s="277"/>
      <c r="G20" s="278">
        <f>G19*2%</f>
        <v>15017.504941933914</v>
      </c>
      <c r="H20" s="279">
        <f t="shared" ref="H20:H21" si="4">C20-G20</f>
        <v>48330.380020966761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4"/>
        <v>323195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3721491.1331079341</v>
      </c>
      <c r="D22" s="282"/>
      <c r="E22" s="283"/>
      <c r="F22" s="284"/>
      <c r="G22" s="285">
        <f t="shared" ref="G22:H22" si="5">G19+G20+G21</f>
        <v>933446.75203862961</v>
      </c>
      <c r="H22" s="286">
        <f t="shared" si="5"/>
        <v>2788044.3810693054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7.5832882657079974</v>
      </c>
      <c r="D23" s="290"/>
      <c r="E23" s="291"/>
      <c r="F23" s="292"/>
      <c r="G23" s="295">
        <f>(G19+G20+G21)/G4</f>
        <v>5.5710203996241789</v>
      </c>
      <c r="H23" s="294">
        <f>(H20+H21+H19)/H4</f>
        <v>8.6265083960745219</v>
      </c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50"/>
      <c r="H25" s="250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5.7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331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295</v>
      </c>
      <c r="D33" s="192">
        <v>251.24269005847952</v>
      </c>
      <c r="E33" s="192">
        <f>C33*D33</f>
        <v>74116.593567251461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49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49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49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49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49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4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49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49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49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49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249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49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49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49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49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3.5" customHeight="1" x14ac:dyDescent="0.25">
      <c r="A50" s="249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3.5" customHeight="1" x14ac:dyDescent="0.25">
      <c r="A51" s="249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3.5" customHeight="1" x14ac:dyDescent="0.25">
      <c r="A52" s="249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3.5" customHeight="1" x14ac:dyDescent="0.25">
      <c r="A53" s="249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3.5" customHeight="1" x14ac:dyDescent="0.25">
      <c r="A54" s="249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49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49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49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49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49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49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49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49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49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49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49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49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49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49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49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49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49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49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49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49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49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49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49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49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49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49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dataValidations count="1">
    <dataValidation type="list" allowBlank="1" showErrorMessage="1" sqref="I14" xr:uid="{00000000-0002-0000-1500-000000000000}">
      <formula1>"Percentage basis,SFT basis"</formula1>
    </dataValidation>
  </dataValidations>
  <hyperlinks>
    <hyperlink ref="B7" location="null!A1" display="Technical manpower" xr:uid="{00000000-0004-0000-1500-000000000000}"/>
    <hyperlink ref="B8" location="null!A1" display="HK Manpower" xr:uid="{00000000-0004-0000-1500-000001000000}"/>
    <hyperlink ref="B9" location="null!A1" display="LP Manpower -Security Services " xr:uid="{00000000-0004-0000-1500-000002000000}"/>
    <hyperlink ref="B10" location="null!A1" display="AMC" xr:uid="{00000000-0004-0000-1500-000003000000}"/>
    <hyperlink ref="B11" location="null!A1" display="Consumables" xr:uid="{00000000-0004-0000-1500-000004000000}"/>
    <hyperlink ref="B16" location="null!A1" display="Liosaning &amp; Licenses" xr:uid="{00000000-0004-0000-1500-000005000000}"/>
  </hyperlink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42578125" customWidth="1"/>
    <col min="7" max="7" width="10.5703125" customWidth="1"/>
    <col min="8" max="8" width="9.28515625" customWidth="1"/>
    <col min="9" max="26" width="12.42578125" customWidth="1"/>
  </cols>
  <sheetData>
    <row r="1" spans="1:26" x14ac:dyDescent="0.25">
      <c r="A1" s="381" t="s">
        <v>332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'CAM-Mar`24'!H23</f>
        <v>8.6265083960745219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28562.369299402741</v>
      </c>
      <c r="G5" s="110">
        <f>C5*65%</f>
        <v>2152.15</v>
      </c>
      <c r="H5" s="111">
        <f>F5/G5</f>
        <v>13.271551378576186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32918.756039420376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32901.503022628225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31469.502628879854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29640.682848912056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23489.982362510924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11913.208094978914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6513.0138390362645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58013.268963601156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66303.34353222877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83797.902559467911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82072.600880252998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C24*'CAM-Mar`24'!G23</f>
        <v>933446.75203862973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115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109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128">
        <f>C30*F2</f>
        <v>17253.016792149043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130">
        <f>C31*F2</f>
        <v>5063.7604284957442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130">
        <f>C32*F2</f>
        <v>26310.850608027293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115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109">
        <f>C34*F2</f>
        <v>98557.858425151411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109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130">
        <f>C36*F2</f>
        <v>18598.752101936669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130">
        <f>C37*F2</f>
        <v>17882.751905062483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130">
        <f>C38*F2</f>
        <v>25249.790075310124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130">
        <f>C39*F2</f>
        <v>11223.087423292953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115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109">
        <f>C41*F2</f>
        <v>75041.996537452273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115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115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18124.294140152571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98557.858425151411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72954.381505602229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75041.996537452273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48627.627828672077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98557.858425151411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134">
        <f>C57*F2</f>
        <v>34135.09372326688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134">
        <f>C58*F2</f>
        <v>12939.762594111782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134">
        <f>C59*F2</f>
        <v>12939.762594111782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134">
        <f>C60*F2</f>
        <v>12939.762594111782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15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75041.996537452273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15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15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48627.627828672077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25879.525188223564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8626.5083960745214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29545.791256555236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8626.5083960745214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17253.016792149043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8626.5083960745214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19840.969310971399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8626.5083960745214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9946.3641806739233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9937.7376722778499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9937.7376722778499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7332.5321366633434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7332.5321366633434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75041.996537452273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22316.777220644788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26310.850608027293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26121.067423313652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23153.548535064016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26121.067423313652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23162.175043460091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72954.381505602229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75041.996537452273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18124.294140152571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96323.592750568117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2234.265674583301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65906.524146009353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7047.8573595928847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75041.996537452273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13802.413433719235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8514.3637869255526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26310.850608027293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49274.615958377668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49283.242466773743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10688.243902736333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10696.870411132408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10688.243902736333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10688.243902736333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6901.2067168596177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6901.2067168596177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9489.1592356819747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6901.2067168596177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39880.348315052513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16364.486427353368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18797.161795046384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48627.627828672077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98557.858425151411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16709.546763196347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56244.834742405881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75041.996537452273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3721491.1331079332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7.42578125" customWidth="1"/>
    <col min="4" max="4" width="16" customWidth="1"/>
    <col min="5" max="5" width="14.85546875" customWidth="1"/>
    <col min="6" max="6" width="7.7109375" customWidth="1"/>
    <col min="7" max="7" width="17.42578125" customWidth="1"/>
    <col min="8" max="8" width="17.7109375" customWidth="1"/>
    <col min="9" max="9" width="18.7109375" customWidth="1"/>
    <col min="10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333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5.9187289003762542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298" t="s">
        <v>34</v>
      </c>
      <c r="C5" s="299" t="s">
        <v>111</v>
      </c>
      <c r="D5" s="177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300" t="s">
        <v>334</v>
      </c>
      <c r="C6" s="301">
        <f>255533+77500+50000</f>
        <v>383033</v>
      </c>
      <c r="D6" s="185">
        <f>C6/D3</f>
        <v>0.78050693939264271</v>
      </c>
      <c r="E6" s="186"/>
      <c r="F6" s="187"/>
      <c r="G6" s="188">
        <f>G4*D6</f>
        <v>130777.05972299486</v>
      </c>
      <c r="H6" s="189">
        <f>H4*D6</f>
        <v>252255.94027700517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302" t="s">
        <v>114</v>
      </c>
      <c r="C7" s="301">
        <v>449526</v>
      </c>
      <c r="D7" s="185">
        <f>C7/D3</f>
        <v>0.91599982883306941</v>
      </c>
      <c r="E7" s="191">
        <f>C7*(D29)</f>
        <v>145729.8564870886</v>
      </c>
      <c r="F7" s="192">
        <f>E7/D3</f>
        <v>0.29695395505052197</v>
      </c>
      <c r="G7" s="188">
        <f>F7*G4</f>
        <v>49755.82298453516</v>
      </c>
      <c r="H7" s="189">
        <f t="shared" ref="H7:H8" si="0">C7-G7</f>
        <v>399770.17701546487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302" t="s">
        <v>115</v>
      </c>
      <c r="C8" s="301">
        <v>310200</v>
      </c>
      <c r="D8" s="185">
        <f>C8/D3</f>
        <v>0.63209502209887336</v>
      </c>
      <c r="E8" s="191">
        <f>C8*D28</f>
        <v>212138.88597229301</v>
      </c>
      <c r="F8" s="192">
        <f>E8/D3</f>
        <v>0.43227573764244653</v>
      </c>
      <c r="G8" s="188">
        <f>F8*G4</f>
        <v>72429.528944942489</v>
      </c>
      <c r="H8" s="189">
        <f t="shared" si="0"/>
        <v>237770.47105505751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302" t="s">
        <v>116</v>
      </c>
      <c r="C9" s="301">
        <v>656106</v>
      </c>
      <c r="D9" s="185">
        <f>C9/D3</f>
        <v>1.3369482158904042</v>
      </c>
      <c r="E9" s="186"/>
      <c r="F9" s="187"/>
      <c r="G9" s="188">
        <f>G4*D9</f>
        <v>224011.02136530078</v>
      </c>
      <c r="H9" s="189">
        <f>H4*D9</f>
        <v>432094.97863469919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302" t="s">
        <v>117</v>
      </c>
      <c r="C10" s="301">
        <f>45000+5000+6000+152000</f>
        <v>208000</v>
      </c>
      <c r="D10" s="185">
        <f>C10/D3</f>
        <v>0.42384192326423487</v>
      </c>
      <c r="E10" s="186"/>
      <c r="F10" s="187"/>
      <c r="G10" s="188">
        <f>D10*G4</f>
        <v>71016.409610615607</v>
      </c>
      <c r="H10" s="189">
        <f>C10-G10</f>
        <v>136983.59038938439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302" t="s">
        <v>118</v>
      </c>
      <c r="C11" s="301">
        <v>0</v>
      </c>
      <c r="D11" s="185">
        <v>0</v>
      </c>
      <c r="E11" s="186"/>
      <c r="F11" s="187"/>
      <c r="G11" s="188">
        <v>0</v>
      </c>
      <c r="H11" s="189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303" t="s">
        <v>335</v>
      </c>
      <c r="C12" s="301">
        <v>0</v>
      </c>
      <c r="D12" s="185">
        <f>C12/D3</f>
        <v>0</v>
      </c>
      <c r="E12" s="191">
        <f>C12*D28</f>
        <v>0</v>
      </c>
      <c r="F12" s="192">
        <f>E12/D3</f>
        <v>0</v>
      </c>
      <c r="G12" s="188">
        <f>F12*G4</f>
        <v>0</v>
      </c>
      <c r="H12" s="189">
        <f>C12-G12</f>
        <v>0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300" t="s">
        <v>294</v>
      </c>
      <c r="C13" s="301">
        <v>0</v>
      </c>
      <c r="D13" s="185">
        <v>0</v>
      </c>
      <c r="E13" s="191"/>
      <c r="F13" s="192"/>
      <c r="G13" s="188">
        <v>0</v>
      </c>
      <c r="H13" s="189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300" t="s">
        <v>336</v>
      </c>
      <c r="C14" s="304">
        <f>459489.49749356+392206.685019915</f>
        <v>851696.18251347495</v>
      </c>
      <c r="D14" s="196">
        <f>C14/D3</f>
        <v>1.7355026347755675</v>
      </c>
      <c r="E14" s="191">
        <f>C14*(D29)</f>
        <v>276107.63882020157</v>
      </c>
      <c r="F14" s="192">
        <f>E14/D3</f>
        <v>0.56262496473798529</v>
      </c>
      <c r="G14" s="188">
        <f>F14*G4</f>
        <v>94270.063341708388</v>
      </c>
      <c r="H14" s="189">
        <f t="shared" ref="H14:H15" si="1">C14-G14</f>
        <v>757426.11917176656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300" t="s">
        <v>337</v>
      </c>
      <c r="C15" s="301">
        <f>121940.182243229-C16</f>
        <v>33504.106617270911</v>
      </c>
      <c r="D15" s="185">
        <f>C15/D3</f>
        <v>6.8271370124586922E-2</v>
      </c>
      <c r="E15" s="186"/>
      <c r="F15" s="187"/>
      <c r="G15" s="188">
        <f>G4*D15</f>
        <v>11439.141149855037</v>
      </c>
      <c r="H15" s="189">
        <f t="shared" si="1"/>
        <v>22064.965467415874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305" t="s">
        <v>274</v>
      </c>
      <c r="C16" s="301">
        <f>E33</f>
        <v>88436.075625958096</v>
      </c>
      <c r="D16" s="185"/>
      <c r="E16" s="186"/>
      <c r="F16" s="187"/>
      <c r="G16" s="188"/>
      <c r="H16" s="189">
        <f>C16</f>
        <v>88436.075625958096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300" t="s">
        <v>338</v>
      </c>
      <c r="C17" s="301">
        <f>8000+3500+1045</f>
        <v>12545</v>
      </c>
      <c r="D17" s="185">
        <f>C17/D3</f>
        <v>2.5562965996874167E-2</v>
      </c>
      <c r="E17" s="186"/>
      <c r="F17" s="187"/>
      <c r="G17" s="188">
        <f>D17*G4</f>
        <v>4283.1772046402539</v>
      </c>
      <c r="H17" s="189">
        <f t="shared" ref="H17:H18" si="2">C17-G17</f>
        <v>8261.8227953597452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07" t="s">
        <v>339</v>
      </c>
      <c r="C18" s="308">
        <v>0</v>
      </c>
      <c r="D18" s="201">
        <f>C18/D3</f>
        <v>0</v>
      </c>
      <c r="E18" s="202"/>
      <c r="F18" s="203"/>
      <c r="G18" s="204">
        <f>D18*G4</f>
        <v>0</v>
      </c>
      <c r="H18" s="205">
        <f t="shared" si="2"/>
        <v>0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2993046.3647567038</v>
      </c>
      <c r="D19" s="268"/>
      <c r="E19" s="269"/>
      <c r="F19" s="270"/>
      <c r="G19" s="271">
        <f t="shared" ref="G19:H19" si="3">SUM(G6:G18)</f>
        <v>657982.22432459251</v>
      </c>
      <c r="H19" s="272">
        <f t="shared" si="3"/>
        <v>2335064.1404321115</v>
      </c>
      <c r="I19" s="214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f>C19*2%</f>
        <v>59860.927295134075</v>
      </c>
      <c r="D20" s="275">
        <f>C20/D3</f>
        <v>0.12197870458245269</v>
      </c>
      <c r="E20" s="276"/>
      <c r="F20" s="277"/>
      <c r="G20" s="278">
        <f>G19*2%</f>
        <v>13159.64448649185</v>
      </c>
      <c r="H20" s="279">
        <f t="shared" ref="H20:H21" si="4">C20-G20</f>
        <v>46701.282808642223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4"/>
        <v>323195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3543656.2920518378</v>
      </c>
      <c r="D22" s="282"/>
      <c r="E22" s="283"/>
      <c r="F22" s="284"/>
      <c r="G22" s="285">
        <f t="shared" ref="G22:H22" si="5">G19+G20+G21</f>
        <v>838695.86881108431</v>
      </c>
      <c r="H22" s="286">
        <f t="shared" si="5"/>
        <v>2704960.4232407538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7.2209139337050869</v>
      </c>
      <c r="D23" s="290"/>
      <c r="E23" s="291"/>
      <c r="F23" s="292"/>
      <c r="G23" s="295">
        <f>(G19+G20+G21)/G4</f>
        <v>5.0055257935416897</v>
      </c>
      <c r="H23" s="294">
        <f>(H20+H21+H19)/H4</f>
        <v>8.3694377179125716</v>
      </c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5.7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340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356</v>
      </c>
      <c r="D33" s="192">
        <v>248.41594276954521</v>
      </c>
      <c r="E33" s="192">
        <f>C33*D33</f>
        <v>88436.075625958096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341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5000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345</v>
      </c>
      <c r="C39" s="310">
        <v>152000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61"/>
      <c r="B40" s="311" t="s">
        <v>35</v>
      </c>
      <c r="C40" s="312">
        <f>SUM(C36:C39)</f>
        <v>208000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49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61" t="s">
        <v>298</v>
      </c>
      <c r="B42" s="261" t="s">
        <v>122</v>
      </c>
      <c r="C42" s="261" t="s">
        <v>309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54">
        <v>1</v>
      </c>
      <c r="B43" s="187" t="s">
        <v>346</v>
      </c>
      <c r="C43" s="310">
        <v>8000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54">
        <v>2</v>
      </c>
      <c r="B44" s="187" t="s">
        <v>347</v>
      </c>
      <c r="C44" s="310">
        <v>3500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254">
        <v>3</v>
      </c>
      <c r="B45" s="187" t="s">
        <v>348</v>
      </c>
      <c r="C45" s="310">
        <v>1045</v>
      </c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61"/>
      <c r="B46" s="311" t="s">
        <v>35</v>
      </c>
      <c r="C46" s="312">
        <f>SUM(C43:C45)</f>
        <v>12545</v>
      </c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49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61" t="s">
        <v>298</v>
      </c>
      <c r="B48" s="313" t="s">
        <v>349</v>
      </c>
      <c r="C48" s="261" t="s">
        <v>309</v>
      </c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54">
        <v>1</v>
      </c>
      <c r="B49" s="187" t="s">
        <v>350</v>
      </c>
      <c r="C49" s="310">
        <v>459489.49749356002</v>
      </c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3.5" customHeight="1" x14ac:dyDescent="0.25">
      <c r="A50" s="254">
        <v>2</v>
      </c>
      <c r="B50" s="187" t="s">
        <v>351</v>
      </c>
      <c r="C50" s="310">
        <v>392206.68501991499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3.5" customHeight="1" x14ac:dyDescent="0.25">
      <c r="A51" s="261"/>
      <c r="B51" s="311" t="s">
        <v>35</v>
      </c>
      <c r="C51" s="312">
        <f>SUM(C49:C50)</f>
        <v>851696.18251347495</v>
      </c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3.5" customHeight="1" x14ac:dyDescent="0.25">
      <c r="A52" s="249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3.5" customHeight="1" x14ac:dyDescent="0.25">
      <c r="A53" s="249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3.5" customHeight="1" x14ac:dyDescent="0.25">
      <c r="A54" s="249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49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49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49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49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49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49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49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49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49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49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49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49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49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49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49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49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49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49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49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49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49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49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49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49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49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49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dataValidations count="1">
    <dataValidation type="list" allowBlank="1" showErrorMessage="1" sqref="I14" xr:uid="{00000000-0002-0000-1700-000000000000}">
      <formula1>"Percentage basis,SFT basis"</formula1>
    </dataValidation>
  </dataValidations>
  <hyperlinks>
    <hyperlink ref="B7" location="null!A1" display="Technical manpower" xr:uid="{00000000-0004-0000-1700-000000000000}"/>
    <hyperlink ref="B8" location="null!A1" display="HK Manpower" xr:uid="{00000000-0004-0000-1700-000001000000}"/>
    <hyperlink ref="B9" location="null!A1" display="LP Manpower -Security Services " xr:uid="{00000000-0004-0000-1700-000002000000}"/>
    <hyperlink ref="B10" location="null!A1" display="AMC" xr:uid="{00000000-0004-0000-1700-000003000000}"/>
    <hyperlink ref="B11" location="null!A1" display="Consumables" xr:uid="{00000000-0004-0000-1700-000004000000}"/>
    <hyperlink ref="B16" location="null!A1" display="Liosaning &amp; Licenses" xr:uid="{00000000-0004-0000-1700-000005000000}"/>
  </hyperlinks>
  <pageMargins left="0.7" right="0.7" top="0.75" bottom="0.75" header="0" footer="0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42578125" customWidth="1"/>
    <col min="7" max="7" width="10.5703125" customWidth="1"/>
    <col min="8" max="8" width="9.28515625" customWidth="1"/>
    <col min="9" max="26" width="12.42578125" customWidth="1"/>
  </cols>
  <sheetData>
    <row r="1" spans="1:26" x14ac:dyDescent="0.25">
      <c r="A1" s="381" t="s">
        <v>352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'CAM-Apr`24'!H23</f>
        <v>8.3694377179125716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27711.208284008524</v>
      </c>
      <c r="G5" s="110">
        <f>C5*65%</f>
        <v>2152.15</v>
      </c>
      <c r="H5" s="111">
        <f>F5/G5</f>
        <v>12.876058027557802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31937.774331554374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31921.035456118549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30531.708794945062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28757.387998747596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22789.978905875934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11558.193488437262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6318.9254770239913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56284.468652962045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64327.498299876024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81300.717991802725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79626.830448220207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C24*'CAM-Apr`24'!G23</f>
        <v>838695.86881108431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115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109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128">
        <f>C30*F2</f>
        <v>16738.875435825143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130">
        <f>C31*F2</f>
        <v>4912.8599404146798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130">
        <f>C32*F2</f>
        <v>25526.785039633345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115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109">
        <f>C34*F2</f>
        <v>95620.825927151134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109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130">
        <f>C36*F2</f>
        <v>18044.507719819503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130">
        <f>C37*F2</f>
        <v>17349.84438923276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130">
        <f>C38*F2</f>
        <v>24497.344200330099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130">
        <f>C39*F2</f>
        <v>10888.638471004255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115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109">
        <f>C41*F2</f>
        <v>72805.738708121455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115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115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17584.188645334314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95620.825927151134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70780.33478038662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72805.738708121455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47178.520415873165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95620.825927151134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134">
        <f>C57*F2</f>
        <v>33117.865049780048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134">
        <f>C58*F2</f>
        <v>12554.156576868858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134">
        <f>C59*F2</f>
        <v>12554.156576868858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134">
        <f>C60*F2</f>
        <v>12554.156576868858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15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72805.738708121455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15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15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47178.520415873165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25108.313153737716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8369.4377179125713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28665.324183850556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8369.4377179125713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16738.875435825143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8369.4377179125713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19249.706751198915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8369.4377179125713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9649.9616887531956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9641.592251035283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9641.592251035283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7114.0220602256859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7114.0220602256859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72805.738708121455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21651.735376239823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25526.785039633345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25342.657409839267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22463.570834877341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25342.657409839267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22471.940272595253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70780.33478038662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72805.738708121455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17584.188645334314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93453.141558211777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2167.6843689393559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63942.504164852049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6837.8306155345708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72805.738708121455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13391.100348660115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8260.6350275797085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25526.785039633345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47806.228244716607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47814.59768243452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10369.733332493677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10378.102770211588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10369.733332493677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10369.733332493677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6695.5501743300574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6695.5501743300574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9206.3814897038283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6695.5501743300574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38691.910569909822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15876.823350880148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18237.004787331494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47178.520415873165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95620.825927151134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16211.60085959665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54568.733920789964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72805.738708121455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3543656.2920518392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7.42578125" customWidth="1"/>
    <col min="4" max="4" width="16" customWidth="1"/>
    <col min="5" max="5" width="14.85546875" customWidth="1"/>
    <col min="6" max="6" width="7.7109375" customWidth="1"/>
    <col min="7" max="7" width="17.42578125" customWidth="1"/>
    <col min="8" max="8" width="17.7109375" customWidth="1"/>
    <col min="9" max="9" width="18.7109375" customWidth="1"/>
    <col min="10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353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7.0814840652389996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354</v>
      </c>
      <c r="C6" s="184">
        <f>262200+77500+50000</f>
        <v>389700</v>
      </c>
      <c r="D6" s="185">
        <f>C6/D3</f>
        <v>0.79409229565419392</v>
      </c>
      <c r="E6" s="186"/>
      <c r="F6" s="187"/>
      <c r="G6" s="188">
        <f>G4*D6</f>
        <v>133053.34050604282</v>
      </c>
      <c r="H6" s="189">
        <f>H4*D6</f>
        <v>256646.65949395721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355</v>
      </c>
      <c r="C7" s="184">
        <v>442335.19</v>
      </c>
      <c r="D7" s="185">
        <f>C7/D3</f>
        <v>0.90134710412043628</v>
      </c>
      <c r="E7" s="191">
        <f>C7*(D29)</f>
        <v>143398.69942537043</v>
      </c>
      <c r="F7" s="192">
        <f>E7/D3</f>
        <v>0.29220375268287951</v>
      </c>
      <c r="G7" s="188">
        <f>F7*G4</f>
        <v>48959.907577027196</v>
      </c>
      <c r="H7" s="189">
        <f t="shared" ref="H7:H8" si="0">C7-G7</f>
        <v>393375.28242297278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356</v>
      </c>
      <c r="C8" s="184">
        <v>354052</v>
      </c>
      <c r="D8" s="185">
        <f>C8/D3</f>
        <v>0.72145231065167736</v>
      </c>
      <c r="E8" s="191">
        <f>C8*D28</f>
        <v>242128.2941852427</v>
      </c>
      <c r="F8" s="192">
        <f>E8/D3</f>
        <v>0.49338520136616215</v>
      </c>
      <c r="G8" s="193">
        <f>F8*G4</f>
        <v>82668.664029705935</v>
      </c>
      <c r="H8" s="189">
        <f t="shared" si="0"/>
        <v>271383.33597029408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357</v>
      </c>
      <c r="C9" s="184">
        <v>802542.26</v>
      </c>
      <c r="D9" s="185">
        <f>C9/D3</f>
        <v>1.6353416104770464</v>
      </c>
      <c r="E9" s="186"/>
      <c r="F9" s="187"/>
      <c r="G9" s="188">
        <f>G4*D9</f>
        <v>274008.02820187103</v>
      </c>
      <c r="H9" s="189">
        <f>H4*D9</f>
        <v>528534.23179812904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358</v>
      </c>
      <c r="C10" s="184">
        <f>45000+5000+6000+160000</f>
        <v>216000</v>
      </c>
      <c r="D10" s="185">
        <f>C10/D3</f>
        <v>0.44014353569747466</v>
      </c>
      <c r="E10" s="186"/>
      <c r="F10" s="187"/>
      <c r="G10" s="188">
        <f>D10*G4</f>
        <v>73747.809980254664</v>
      </c>
      <c r="H10" s="189">
        <f>C10-G10</f>
        <v>142252.19001974532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43</v>
      </c>
      <c r="C11" s="184">
        <v>0</v>
      </c>
      <c r="D11" s="185">
        <v>0</v>
      </c>
      <c r="E11" s="186"/>
      <c r="F11" s="187"/>
      <c r="G11" s="188">
        <v>0</v>
      </c>
      <c r="H11" s="189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359</v>
      </c>
      <c r="C12" s="184">
        <v>0</v>
      </c>
      <c r="D12" s="185">
        <f>C12/D3</f>
        <v>0</v>
      </c>
      <c r="E12" s="191">
        <f>C12*D28</f>
        <v>0</v>
      </c>
      <c r="F12" s="192">
        <f>E12/D3</f>
        <v>0</v>
      </c>
      <c r="G12" s="188">
        <f>F12*G4</f>
        <v>0</v>
      </c>
      <c r="H12" s="189">
        <f>C12-G12</f>
        <v>0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84">
        <v>0</v>
      </c>
      <c r="D13" s="185">
        <v>0</v>
      </c>
      <c r="E13" s="191"/>
      <c r="F13" s="192"/>
      <c r="G13" s="188">
        <v>0</v>
      </c>
      <c r="H13" s="189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360</v>
      </c>
      <c r="C14" s="195">
        <f>611600.275183983+392206.685019915</f>
        <v>1003806.960203898</v>
      </c>
      <c r="D14" s="196">
        <f>C14/D3</f>
        <v>2.0454590028790647</v>
      </c>
      <c r="E14" s="191">
        <f>C14*(D29)</f>
        <v>325419.76270839665</v>
      </c>
      <c r="F14" s="192">
        <f>E14/D3</f>
        <v>0.66310835622364317</v>
      </c>
      <c r="G14" s="188">
        <f>F14*G4</f>
        <v>111106.4575186963</v>
      </c>
      <c r="H14" s="189">
        <f t="shared" ref="H14:H15" si="1">C14-G14</f>
        <v>892700.5026852017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361</v>
      </c>
      <c r="C15" s="184">
        <f>223554.465851735-C16</f>
        <v>148083.11332807568</v>
      </c>
      <c r="D15" s="185">
        <f>C15/D3</f>
        <v>0.30174919017272717</v>
      </c>
      <c r="E15" s="186"/>
      <c r="F15" s="187"/>
      <c r="G15" s="188">
        <f>G4*D15</f>
        <v>50559.28381020113</v>
      </c>
      <c r="H15" s="189">
        <f t="shared" si="1"/>
        <v>97523.829517874547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75471.352523659312</v>
      </c>
      <c r="D16" s="185"/>
      <c r="E16" s="186"/>
      <c r="F16" s="187"/>
      <c r="G16" s="188"/>
      <c r="H16" s="189">
        <f>C16</f>
        <v>75471.352523659312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362</v>
      </c>
      <c r="C17" s="184">
        <f>C48</f>
        <v>118711.7</v>
      </c>
      <c r="D17" s="185">
        <f>C17/D3</f>
        <v>0.24189901558637919</v>
      </c>
      <c r="E17" s="186"/>
      <c r="F17" s="187"/>
      <c r="G17" s="188">
        <f>D17*G4</f>
        <v>40531.147657560177</v>
      </c>
      <c r="H17" s="189">
        <f t="shared" ref="H17:H18" si="2">C17-G17</f>
        <v>78180.552342439827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363</v>
      </c>
      <c r="C18" s="318">
        <v>0</v>
      </c>
      <c r="D18" s="319">
        <f>C18/D3</f>
        <v>0</v>
      </c>
      <c r="E18" s="202"/>
      <c r="F18" s="203"/>
      <c r="G18" s="204">
        <f>D18*G4</f>
        <v>0</v>
      </c>
      <c r="H18" s="205">
        <f t="shared" si="2"/>
        <v>0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3550702.5760556334</v>
      </c>
      <c r="D19" s="268"/>
      <c r="E19" s="269"/>
      <c r="F19" s="270"/>
      <c r="G19" s="271">
        <f t="shared" ref="G19:H19" si="3">SUM(G6:G18)</f>
        <v>814634.63928135927</v>
      </c>
      <c r="H19" s="272">
        <f t="shared" si="3"/>
        <v>2736067.9367742739</v>
      </c>
      <c r="I19" s="214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f>C19*2%</f>
        <v>71014.051521112662</v>
      </c>
      <c r="D20" s="275">
        <f>C20/D3</f>
        <v>0.14470544315141276</v>
      </c>
      <c r="E20" s="276"/>
      <c r="F20" s="277"/>
      <c r="G20" s="278">
        <f>G19*2%</f>
        <v>16292.692785627185</v>
      </c>
      <c r="H20" s="279">
        <f t="shared" ref="H20:H21" si="4">C20-G20</f>
        <v>54721.358735485475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4"/>
        <v>323195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4112465.627576746</v>
      </c>
      <c r="D22" s="282"/>
      <c r="E22" s="283"/>
      <c r="F22" s="284"/>
      <c r="G22" s="285">
        <f t="shared" ref="G22:H22" si="5">G19+G20+G21</f>
        <v>998481.33206698648</v>
      </c>
      <c r="H22" s="286">
        <f t="shared" si="5"/>
        <v>3113984.2955097593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8.3799776007220519</v>
      </c>
      <c r="D23" s="290"/>
      <c r="E23" s="291"/>
      <c r="F23" s="292"/>
      <c r="G23" s="295">
        <f>(G19+G20+G21)/G4</f>
        <v>5.9591614170177163</v>
      </c>
      <c r="H23" s="294">
        <f>(H20+H21+H19)/H4</f>
        <v>9.635001455807668</v>
      </c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5.7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14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381</v>
      </c>
      <c r="D33" s="192">
        <v>198.08753943217667</v>
      </c>
      <c r="E33" s="310">
        <f>C33*D33</f>
        <v>75471.352523659312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341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5000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345</v>
      </c>
      <c r="C39" s="310">
        <v>160000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61"/>
      <c r="B40" s="311" t="s">
        <v>35</v>
      </c>
      <c r="C40" s="312">
        <f>SUM(C36:C39)</f>
        <v>216000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49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61" t="s">
        <v>298</v>
      </c>
      <c r="B42" s="261" t="s">
        <v>122</v>
      </c>
      <c r="C42" s="261" t="s">
        <v>309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54">
        <v>1</v>
      </c>
      <c r="B43" s="187" t="s">
        <v>364</v>
      </c>
      <c r="C43" s="310">
        <v>1325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54">
        <v>2</v>
      </c>
      <c r="B44" s="187" t="s">
        <v>365</v>
      </c>
      <c r="C44" s="310">
        <v>320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254">
        <v>3</v>
      </c>
      <c r="B45" s="187" t="s">
        <v>366</v>
      </c>
      <c r="C45" s="310">
        <v>260</v>
      </c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54">
        <v>4</v>
      </c>
      <c r="B46" s="187" t="s">
        <v>367</v>
      </c>
      <c r="C46" s="310">
        <v>116666.7</v>
      </c>
      <c r="D46" s="68" t="s">
        <v>368</v>
      </c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54">
        <v>5</v>
      </c>
      <c r="B47" s="187" t="s">
        <v>369</v>
      </c>
      <c r="C47" s="310">
        <v>140</v>
      </c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61"/>
      <c r="B48" s="311" t="s">
        <v>35</v>
      </c>
      <c r="C48" s="312">
        <f>SUM(C43:C47)</f>
        <v>118711.7</v>
      </c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49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3.5" customHeight="1" x14ac:dyDescent="0.25">
      <c r="A50" s="261" t="s">
        <v>298</v>
      </c>
      <c r="B50" s="313" t="s">
        <v>349</v>
      </c>
      <c r="C50" s="261" t="s">
        <v>309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3.5" customHeight="1" x14ac:dyDescent="0.25">
      <c r="A51" s="254">
        <v>1</v>
      </c>
      <c r="B51" s="187" t="s">
        <v>350</v>
      </c>
      <c r="C51" s="310">
        <v>611600.27518398303</v>
      </c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3.5" customHeight="1" x14ac:dyDescent="0.25">
      <c r="A52" s="254">
        <v>2</v>
      </c>
      <c r="B52" s="187" t="s">
        <v>351</v>
      </c>
      <c r="C52" s="310">
        <v>392206.68501991499</v>
      </c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3.5" customHeight="1" x14ac:dyDescent="0.25">
      <c r="A53" s="261"/>
      <c r="B53" s="311" t="s">
        <v>35</v>
      </c>
      <c r="C53" s="312">
        <f>SUM(C51:C52)</f>
        <v>1003806.960203898</v>
      </c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3.5" customHeight="1" x14ac:dyDescent="0.25">
      <c r="A54" s="249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49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49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49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49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49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49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49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49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49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49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49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49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49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49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49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49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49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49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49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49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49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49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49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49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49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49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dataValidations count="1">
    <dataValidation type="list" allowBlank="1" showErrorMessage="1" sqref="I14" xr:uid="{00000000-0002-0000-1900-000000000000}">
      <formula1>"Percentage basis,SFT basis"</formula1>
    </dataValidation>
  </dataValidations>
  <pageMargins left="0.7" right="0.7" top="0.75" bottom="0.75" header="0" footer="0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42578125" customWidth="1"/>
    <col min="7" max="7" width="10.5703125" customWidth="1"/>
    <col min="8" max="8" width="9.28515625" customWidth="1"/>
    <col min="9" max="26" width="12.42578125" customWidth="1"/>
  </cols>
  <sheetData>
    <row r="1" spans="1:26" x14ac:dyDescent="0.25">
      <c r="A1" s="381" t="s">
        <v>370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'CAM-May`24'!H23</f>
        <v>9.635001455807668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31901.489820179188</v>
      </c>
      <c r="G5" s="110">
        <f>C5*65%</f>
        <v>2152.15</v>
      </c>
      <c r="H5" s="111">
        <f>F5/G5</f>
        <v>14.823079162781026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36767.165555362059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36747.895552450449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35148.485310786375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33105.865002155144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26236.108964164279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13305.93701047039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7274.4260991347892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64795.384790306569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74054.621189337733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93594.404141715684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91667.403850554154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C24*'CAM-May`24'!G23</f>
        <v>998481.33206698648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320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321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321">
        <f>C30*F2</f>
        <v>19270.002911615335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321">
        <f>C31*F2</f>
        <v>5655.7458545591007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321">
        <f>C32*F2</f>
        <v>29386.754440213386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321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321">
        <f>C34*F2</f>
        <v>110079.89163260261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321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321">
        <f>C36*F2</f>
        <v>20773.063138721333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321">
        <f>C37*F2</f>
        <v>19973.358017889295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321">
        <f>C38*F2</f>
        <v>28201.649261149043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321">
        <f>C39*F2</f>
        <v>12535.136894005776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321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321">
        <f>C41*F2</f>
        <v>83814.877664070897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321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320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20243.138058651912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110079.89163260261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81483.207311765451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83814.877664070897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54312.503206387824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110079.89163260261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321">
        <f>C57*F2</f>
        <v>38125.700760630942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321">
        <f>C58*F2</f>
        <v>14452.502183711502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321">
        <f>C59*F2</f>
        <v>14452.502183711502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321">
        <f>C60*F2</f>
        <v>14452.502183711502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09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83814.877664070897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09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09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54312.503206387824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28905.004367423004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9635.0014558076673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32999.879986141263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9635.0014558076673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19270.002911615335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9635.0014558076673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22160.503348357637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9635.0014558076673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11109.156678546242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11099.521677090434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11099.521677090434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8189.7512374365178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8189.7512374365178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83814.877664070897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24925.748766174438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29386.754440213386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29174.78440818562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25860.343907387782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29174.78440818562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25869.97890884359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81483.207311765451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83814.877664070897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20243.138058651912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107584.42625554842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2495.4653770541859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73611.411122370584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7871.796189394865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83814.877664070897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15416.002329292269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9509.7464368821675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29386.754440213386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55035.128315573398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55044.76331702921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11937.766803745701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11947.401805201509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11937.766803745701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11937.766803745701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7708.0011646461344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7708.0011646461344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10598.501601388434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7708.0011646461344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44542.611730198849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18277.597761667144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20994.668172204907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54312.503206387824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110079.89163260261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18662.997819899454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62820.209491865993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83814.877664070897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4112465.627576746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7.42578125" customWidth="1"/>
    <col min="4" max="4" width="16" customWidth="1"/>
    <col min="5" max="5" width="14.85546875" customWidth="1"/>
    <col min="6" max="6" width="7.7109375" customWidth="1"/>
    <col min="7" max="7" width="17.42578125" customWidth="1"/>
    <col min="8" max="8" width="17.7109375" customWidth="1"/>
    <col min="9" max="18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162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371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162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162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7.3464546445350223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162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162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372</v>
      </c>
      <c r="C6" s="184">
        <f>262200+77500+50000</f>
        <v>389700</v>
      </c>
      <c r="D6" s="185">
        <f>C6/D3</f>
        <v>0.79409229565419392</v>
      </c>
      <c r="E6" s="186"/>
      <c r="F6" s="187"/>
      <c r="G6" s="188">
        <f>G4*D6</f>
        <v>133053.34050604282</v>
      </c>
      <c r="H6" s="189">
        <f>H4*D6</f>
        <v>256646.65949395721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162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373</v>
      </c>
      <c r="C7" s="184">
        <v>448502.68</v>
      </c>
      <c r="D7" s="185">
        <f>C7/D3</f>
        <v>0.91391460807867153</v>
      </c>
      <c r="E7" s="191">
        <f>C7*(D29)</f>
        <v>145398.11087784605</v>
      </c>
      <c r="F7" s="192">
        <f>E7/D3</f>
        <v>0.2962779565069843</v>
      </c>
      <c r="G7" s="188">
        <f>F7*G4</f>
        <v>49642.556724571245</v>
      </c>
      <c r="H7" s="189">
        <f t="shared" ref="H7:H8" si="0">C7-G7</f>
        <v>398860.12327542878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162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374</v>
      </c>
      <c r="C8" s="184">
        <v>414000</v>
      </c>
      <c r="D8" s="185">
        <f>C8/D3</f>
        <v>0.84360844342015984</v>
      </c>
      <c r="E8" s="191">
        <f>C8*D28</f>
        <v>283125.39907327306</v>
      </c>
      <c r="F8" s="192">
        <f>E8/D3</f>
        <v>0.57692506571235613</v>
      </c>
      <c r="G8" s="193">
        <f>F8*G4</f>
        <v>96666.102460368114</v>
      </c>
      <c r="H8" s="189">
        <f t="shared" si="0"/>
        <v>317333.89753963187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162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375</v>
      </c>
      <c r="C9" s="184">
        <v>675091</v>
      </c>
      <c r="D9" s="185">
        <f>C9/D3</f>
        <v>1.3756339798960364</v>
      </c>
      <c r="E9" s="186"/>
      <c r="F9" s="187"/>
      <c r="G9" s="188">
        <f>G4*D9</f>
        <v>230492.9758675005</v>
      </c>
      <c r="H9" s="189">
        <f>H4*D9</f>
        <v>444598.02413249947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162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376</v>
      </c>
      <c r="C10" s="184">
        <f>C42-C11</f>
        <v>136000</v>
      </c>
      <c r="D10" s="185">
        <f>C10/D3</f>
        <v>0.27712741136507663</v>
      </c>
      <c r="E10" s="186"/>
      <c r="F10" s="187"/>
      <c r="G10" s="188">
        <f>D10*G4</f>
        <v>46433.806283864047</v>
      </c>
      <c r="H10" s="189">
        <f t="shared" ref="H10:H12" si="1">C10-G10</f>
        <v>89566.193716135953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162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43</v>
      </c>
      <c r="C11" s="184">
        <v>51573</v>
      </c>
      <c r="D11" s="185">
        <f>C11/D3</f>
        <v>0.10509038225243454</v>
      </c>
      <c r="E11" s="186"/>
      <c r="F11" s="187"/>
      <c r="G11" s="188">
        <v>0</v>
      </c>
      <c r="H11" s="189">
        <f t="shared" si="1"/>
        <v>51573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162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377</v>
      </c>
      <c r="C12" s="184">
        <v>1357</v>
      </c>
      <c r="D12" s="185">
        <f>C12/D3</f>
        <v>2.7651610089883013E-3</v>
      </c>
      <c r="E12" s="191">
        <f>C12*D28</f>
        <v>928.02214140683952</v>
      </c>
      <c r="F12" s="192">
        <f>E12/D3</f>
        <v>1.8910321598349451E-3</v>
      </c>
      <c r="G12" s="188">
        <f>F12*G4</f>
        <v>316.8500025089844</v>
      </c>
      <c r="H12" s="189">
        <f t="shared" si="1"/>
        <v>1040.1499974910157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162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84">
        <v>0</v>
      </c>
      <c r="D13" s="185">
        <v>0</v>
      </c>
      <c r="E13" s="191"/>
      <c r="F13" s="192"/>
      <c r="G13" s="188">
        <v>0</v>
      </c>
      <c r="H13" s="189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162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378</v>
      </c>
      <c r="C14" s="195">
        <f>C58</f>
        <v>871712.07132159197</v>
      </c>
      <c r="D14" s="196">
        <f>C14/D3</f>
        <v>1.7762890425076607</v>
      </c>
      <c r="E14" s="191">
        <f>C14*(D29)</f>
        <v>282596.50176354282</v>
      </c>
      <c r="F14" s="192">
        <f>E14/D3</f>
        <v>0.57584733084233042</v>
      </c>
      <c r="G14" s="188">
        <f>F14*G4</f>
        <v>96485.523671955831</v>
      </c>
      <c r="H14" s="189">
        <f t="shared" ref="H14:H15" si="2">C14-G14</f>
        <v>775226.54764963617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162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379</v>
      </c>
      <c r="C15" s="184">
        <f>202166.682135997-C16</f>
        <v>143709.15236265853</v>
      </c>
      <c r="D15" s="185">
        <f>C15/D3</f>
        <v>0.29283636311568345</v>
      </c>
      <c r="E15" s="186"/>
      <c r="F15" s="187"/>
      <c r="G15" s="188">
        <f>G4*D15</f>
        <v>49065.903985485224</v>
      </c>
      <c r="H15" s="189">
        <f t="shared" si="2"/>
        <v>94643.248377173295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162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58457.529773338458</v>
      </c>
      <c r="D16" s="185"/>
      <c r="E16" s="186"/>
      <c r="F16" s="187"/>
      <c r="G16" s="188"/>
      <c r="H16" s="189">
        <f>C16</f>
        <v>58457.529773338458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162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380</v>
      </c>
      <c r="C17" s="184">
        <f>C45+C50+C51</f>
        <v>117371.7</v>
      </c>
      <c r="D17" s="185">
        <f>C17/D3</f>
        <v>0.2391684955038115</v>
      </c>
      <c r="E17" s="186"/>
      <c r="F17" s="187"/>
      <c r="G17" s="188">
        <f>D17*G4</f>
        <v>40073.638095645634</v>
      </c>
      <c r="H17" s="189">
        <f t="shared" ref="H17:H18" si="3">C17-G17</f>
        <v>77298.06190435437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162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381</v>
      </c>
      <c r="C18" s="318">
        <v>356248.66666666669</v>
      </c>
      <c r="D18" s="319">
        <f>C18/D3</f>
        <v>0.72592846173230452</v>
      </c>
      <c r="E18" s="202"/>
      <c r="F18" s="203"/>
      <c r="G18" s="204">
        <f>D18*G4</f>
        <v>121632.21747709456</v>
      </c>
      <c r="H18" s="205">
        <f t="shared" si="3"/>
        <v>234616.44918957213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162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3663722.800124255</v>
      </c>
      <c r="D19" s="268"/>
      <c r="E19" s="269"/>
      <c r="F19" s="270"/>
      <c r="G19" s="271">
        <f t="shared" ref="G19:H19" si="4">SUM(G6:G18)</f>
        <v>863862.91507503693</v>
      </c>
      <c r="H19" s="272">
        <f t="shared" si="4"/>
        <v>2799859.8850492188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162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5">C20-G20</f>
        <v>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162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5"/>
        <v>323195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162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4154471.800124255</v>
      </c>
      <c r="D22" s="282"/>
      <c r="E22" s="283"/>
      <c r="F22" s="284"/>
      <c r="G22" s="285">
        <f t="shared" ref="G22:H22" si="6">G19+G20+G21</f>
        <v>1031416.9150750369</v>
      </c>
      <c r="H22" s="286">
        <f t="shared" si="6"/>
        <v>3123054.8850492188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162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8.4655736438062128</v>
      </c>
      <c r="D23" s="290"/>
      <c r="E23" s="291"/>
      <c r="F23" s="292"/>
      <c r="G23" s="295">
        <f>(G19+G20+G21)/G4</f>
        <v>6.1557283924886121</v>
      </c>
      <c r="H23" s="294">
        <f>(H20+H21+H19)/H4</f>
        <v>9.6630668328693776</v>
      </c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162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162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162"/>
      <c r="T25" s="162"/>
      <c r="U25" s="162"/>
      <c r="V25" s="162"/>
      <c r="W25" s="162"/>
      <c r="X25" s="162"/>
      <c r="Y25" s="162"/>
      <c r="Z25" s="162"/>
    </row>
    <row r="26" spans="1:26" ht="15.7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296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162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162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162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162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162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15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162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313</v>
      </c>
      <c r="D33" s="192">
        <v>186.76527084133693</v>
      </c>
      <c r="E33" s="310">
        <f>C33*D33</f>
        <v>58457.529773338458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162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162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341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162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162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5000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162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162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382</v>
      </c>
      <c r="C39" s="310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162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5</v>
      </c>
      <c r="B40" s="187" t="s">
        <v>383</v>
      </c>
      <c r="C40" s="310">
        <v>51573</v>
      </c>
      <c r="D40" s="68" t="s">
        <v>384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162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6</v>
      </c>
      <c r="B41" s="187"/>
      <c r="C41" s="310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162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61"/>
      <c r="B42" s="311" t="s">
        <v>35</v>
      </c>
      <c r="C42" s="312">
        <f>SUM(C36:C40)</f>
        <v>187573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162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49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162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61" t="s">
        <v>298</v>
      </c>
      <c r="B44" s="261" t="s">
        <v>122</v>
      </c>
      <c r="C44" s="261" t="s">
        <v>309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162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254">
        <v>1</v>
      </c>
      <c r="B45" s="187" t="s">
        <v>385</v>
      </c>
      <c r="C45" s="310">
        <v>520</v>
      </c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162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54">
        <v>2</v>
      </c>
      <c r="B46" s="187" t="s">
        <v>386</v>
      </c>
      <c r="C46" s="310">
        <v>500</v>
      </c>
      <c r="D46" s="68" t="s">
        <v>387</v>
      </c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162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54">
        <v>3</v>
      </c>
      <c r="B47" s="187" t="s">
        <v>388</v>
      </c>
      <c r="C47" s="310">
        <v>300</v>
      </c>
      <c r="D47" s="68" t="s">
        <v>387</v>
      </c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162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54">
        <v>4</v>
      </c>
      <c r="B48" s="187" t="s">
        <v>389</v>
      </c>
      <c r="C48" s="310">
        <v>350</v>
      </c>
      <c r="D48" s="68" t="s">
        <v>387</v>
      </c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162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54">
        <v>5</v>
      </c>
      <c r="B49" s="187" t="s">
        <v>390</v>
      </c>
      <c r="C49" s="310">
        <v>207</v>
      </c>
      <c r="D49" s="68" t="s">
        <v>387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162"/>
      <c r="T49" s="162"/>
      <c r="U49" s="162"/>
      <c r="V49" s="162"/>
      <c r="W49" s="162"/>
      <c r="X49" s="162"/>
      <c r="Y49" s="162"/>
      <c r="Z49" s="162"/>
    </row>
    <row r="50" spans="1:26" ht="13.5" customHeight="1" x14ac:dyDescent="0.25">
      <c r="A50" s="254">
        <v>6</v>
      </c>
      <c r="B50" s="187" t="s">
        <v>391</v>
      </c>
      <c r="C50" s="310">
        <v>185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162"/>
      <c r="T50" s="162"/>
      <c r="U50" s="162"/>
      <c r="V50" s="162"/>
      <c r="W50" s="162"/>
      <c r="X50" s="162"/>
      <c r="Y50" s="162"/>
      <c r="Z50" s="162"/>
    </row>
    <row r="51" spans="1:26" ht="13.5" customHeight="1" x14ac:dyDescent="0.25">
      <c r="A51" s="254">
        <v>7</v>
      </c>
      <c r="B51" s="187" t="s">
        <v>367</v>
      </c>
      <c r="C51" s="310">
        <v>116666.7</v>
      </c>
      <c r="D51" s="68" t="s">
        <v>368</v>
      </c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162"/>
      <c r="T51" s="162"/>
      <c r="U51" s="162"/>
      <c r="V51" s="162"/>
      <c r="W51" s="162"/>
      <c r="X51" s="162"/>
      <c r="Y51" s="162"/>
      <c r="Z51" s="162"/>
    </row>
    <row r="52" spans="1:26" ht="13.5" customHeight="1" x14ac:dyDescent="0.25">
      <c r="A52" s="254">
        <v>8</v>
      </c>
      <c r="B52" s="187"/>
      <c r="C52" s="310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162"/>
      <c r="T52" s="162"/>
      <c r="U52" s="162"/>
      <c r="V52" s="162"/>
      <c r="W52" s="162"/>
      <c r="X52" s="162"/>
      <c r="Y52" s="162"/>
      <c r="Z52" s="162"/>
    </row>
    <row r="53" spans="1:26" ht="13.5" customHeight="1" x14ac:dyDescent="0.25">
      <c r="A53" s="261"/>
      <c r="B53" s="311" t="s">
        <v>35</v>
      </c>
      <c r="C53" s="312">
        <f>SUM(C45:C52)</f>
        <v>118728.7</v>
      </c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162"/>
      <c r="T53" s="162"/>
      <c r="U53" s="162"/>
      <c r="V53" s="162"/>
      <c r="W53" s="162"/>
      <c r="X53" s="162"/>
      <c r="Y53" s="162"/>
      <c r="Z53" s="162"/>
    </row>
    <row r="54" spans="1:26" ht="13.5" customHeight="1" x14ac:dyDescent="0.25">
      <c r="A54" s="249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162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61" t="s">
        <v>298</v>
      </c>
      <c r="B55" s="313" t="s">
        <v>349</v>
      </c>
      <c r="C55" s="261" t="s">
        <v>309</v>
      </c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162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54">
        <v>1</v>
      </c>
      <c r="B56" s="187" t="s">
        <v>392</v>
      </c>
      <c r="C56" s="310">
        <v>479505.38630167698</v>
      </c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162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54">
        <v>2</v>
      </c>
      <c r="B57" s="187" t="s">
        <v>393</v>
      </c>
      <c r="C57" s="310">
        <v>392206.68501991499</v>
      </c>
      <c r="D57" s="68"/>
      <c r="E57" s="310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162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61"/>
      <c r="B58" s="311" t="s">
        <v>35</v>
      </c>
      <c r="C58" s="312">
        <f>SUM(C56:C57)</f>
        <v>871712.07132159197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162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49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162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 t="s">
        <v>298</v>
      </c>
      <c r="B60" s="187" t="s">
        <v>274</v>
      </c>
      <c r="C60" s="187" t="s">
        <v>309</v>
      </c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162"/>
      <c r="T60" s="162"/>
      <c r="U60" s="162"/>
      <c r="V60" s="162"/>
      <c r="W60" s="162"/>
      <c r="X60" s="162"/>
      <c r="Y60" s="162"/>
      <c r="Z60" s="162"/>
    </row>
    <row r="61" spans="1:26" ht="13.5" customHeight="1" x14ac:dyDescent="0.3">
      <c r="A61" s="254">
        <v>1</v>
      </c>
      <c r="B61" s="187" t="s">
        <v>394</v>
      </c>
      <c r="C61" s="322">
        <v>1068746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162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54"/>
      <c r="B62" s="187" t="s">
        <v>395</v>
      </c>
      <c r="C62" s="310">
        <f>C61/3</f>
        <v>356248.66666666669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162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49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162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49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162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49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162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49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162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49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162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49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162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49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162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49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162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49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162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162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49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162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49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162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49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162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49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162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49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162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49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162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49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162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49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162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49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162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162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162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162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162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162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162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162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162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162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162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162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162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162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162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162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162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162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162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162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162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162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162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162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162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162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162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162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162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162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162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162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162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162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162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162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162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162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162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162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162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162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162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162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162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162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162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162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162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162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162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162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162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162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162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162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162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162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162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162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162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162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162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162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162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162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162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162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162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162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162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162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162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162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162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162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162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162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162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162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162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162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162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162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162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162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162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162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162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162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162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162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162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162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162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162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162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162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162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162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162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162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162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162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162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162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162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162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162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162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162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162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162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162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162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162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162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162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162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162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162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162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162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162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162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162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162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162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162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162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162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162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162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162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162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162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162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162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162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162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162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162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162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162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162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162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162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162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162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162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162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162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162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162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162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162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162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162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162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162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162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162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162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162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162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162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162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162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162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162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162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162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162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162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162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162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162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162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162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162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162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162"/>
      <c r="T262" s="162"/>
      <c r="U262" s="162"/>
      <c r="V262" s="162"/>
      <c r="W262" s="162"/>
      <c r="X262" s="162"/>
      <c r="Y262" s="162"/>
      <c r="Z262" s="162"/>
    </row>
    <row r="263" spans="1:26" ht="15.75" customHeight="1" x14ac:dyDescent="0.25"/>
    <row r="264" spans="1:26" ht="15.75" customHeight="1" x14ac:dyDescent="0.25"/>
    <row r="265" spans="1:26" ht="15.75" customHeight="1" x14ac:dyDescent="0.25"/>
    <row r="266" spans="1:26" ht="15.75" customHeight="1" x14ac:dyDescent="0.25"/>
    <row r="267" spans="1:26" ht="15.75" customHeight="1" x14ac:dyDescent="0.25"/>
    <row r="268" spans="1:26" ht="15.75" customHeight="1" x14ac:dyDescent="0.25"/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42578125" customWidth="1"/>
    <col min="7" max="7" width="10.5703125" customWidth="1"/>
    <col min="8" max="8" width="9.28515625" customWidth="1"/>
    <col min="9" max="26" width="12.42578125" customWidth="1"/>
  </cols>
  <sheetData>
    <row r="1" spans="1:26" x14ac:dyDescent="0.25">
      <c r="A1" s="381" t="s">
        <v>396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'CAM-Jun`24'!H23</f>
        <v>9.6630668328693776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31994.414283630511</v>
      </c>
      <c r="G5" s="110">
        <f>C5*65%</f>
        <v>2152.15</v>
      </c>
      <c r="H5" s="111">
        <f>F5/G5</f>
        <v>14.866256665952889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36874.263034229545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36854.936900563807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35250.867806307491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33202.297637739182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26312.530985903315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13344.695296192611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7295.6154588163799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64984.124451046562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74270.331677434035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93867.031214493138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91934.417847919263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C24*'CAM-Jun`24'!G23</f>
        <v>1031416.9150750369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320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321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321">
        <f>C30*F2</f>
        <v>19326.133665738755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321">
        <f>C31*F2</f>
        <v>5672.2202308943242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321">
        <f>C32*F2</f>
        <v>29472.353840251602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321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321">
        <f>C34*F2</f>
        <v>110400.53856553264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321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321">
        <f>C36*F2</f>
        <v>20833.572091666378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321">
        <f>C37*F2</f>
        <v>20031.53754453822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321">
        <f>C38*F2</f>
        <v>28283.796619808669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321">
        <f>C39*F2</f>
        <v>12571.64994956306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321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321">
        <f>C41*F2</f>
        <v>84059.018379130721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321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320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20302.103415858561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110400.53856553264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81720.556205576329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84059.018379130721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54470.70773688468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110400.53856553264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321">
        <f>C57*F2</f>
        <v>38236.755457664127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321">
        <f>C58*F2</f>
        <v>14494.600249304067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321">
        <f>C59*F2</f>
        <v>14494.600249304067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321">
        <f>C60*F2</f>
        <v>14494.600249304067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09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84059.018379130721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09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09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54470.70773688468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28989.200498608134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9663.0668328693773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33096.00390257762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9663.0668328693773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19326.133665738755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9663.0668328693773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22225.05371559957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9663.0668328693773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11141.516058298392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11131.852991465523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11131.852991465523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8213.6068079389715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8213.6068079389715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84059.018379130721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24998.353896633082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29472.353840251602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29259.766369928475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25935.671379421408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29259.766369928475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25945.334446254277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81720.556205576329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84059.018379130721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20302.103415858561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107897.80425581947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2502.7343097131688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73825.830603122042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7894.7256024542812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84059.018379130721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15460.906932591004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9537.4469640420757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29472.353840251602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55195.437749349883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55205.100816182756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11972.539805925158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11982.202872758029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11972.539805925158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11972.539805925158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7730.453466295502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7730.453466295502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10629.373516156315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7730.453466295502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44672.357968355136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18330.837781953211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21055.822628822374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54470.70773688468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110400.53856553264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18717.360455267986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63003.195750308339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84059.018379130721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4154471.8001242555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7.42578125" customWidth="1"/>
    <col min="4" max="4" width="16" customWidth="1"/>
    <col min="5" max="5" width="14.85546875" customWidth="1"/>
    <col min="6" max="6" width="7.7109375" customWidth="1"/>
    <col min="7" max="7" width="17.42578125" customWidth="1"/>
    <col min="8" max="8" width="17.7109375" customWidth="1"/>
    <col min="9" max="9" width="18.7109375" customWidth="1"/>
    <col min="10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397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7.0009260485203813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398</v>
      </c>
      <c r="C6" s="184">
        <f>262200+77500+50000</f>
        <v>389700</v>
      </c>
      <c r="D6" s="185">
        <f>C6/D3</f>
        <v>0.79409229565419392</v>
      </c>
      <c r="E6" s="186"/>
      <c r="F6" s="187"/>
      <c r="G6" s="188">
        <f>G4*D6</f>
        <v>133053.34050604282</v>
      </c>
      <c r="H6" s="189">
        <f>H4*D6</f>
        <v>256646.65949395721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399</v>
      </c>
      <c r="C7" s="184">
        <v>434075</v>
      </c>
      <c r="D7" s="185">
        <f>C7/D3</f>
        <v>0.88451530211982088</v>
      </c>
      <c r="E7" s="191">
        <f>C7*(D29)</f>
        <v>140720.86476562644</v>
      </c>
      <c r="F7" s="192">
        <f>E7/D3</f>
        <v>0.28674712483494907</v>
      </c>
      <c r="G7" s="188">
        <f>F7*G4</f>
        <v>48045.627754595058</v>
      </c>
      <c r="H7" s="189">
        <f t="shared" ref="H7:H8" si="0">C7-G7</f>
        <v>386029.37224540493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400</v>
      </c>
      <c r="C8" s="184">
        <v>389390</v>
      </c>
      <c r="D8" s="185">
        <f>C8/D3</f>
        <v>0.79346060817240582</v>
      </c>
      <c r="E8" s="191">
        <f>C8*D28</f>
        <v>266295.16701725073</v>
      </c>
      <c r="F8" s="192">
        <f>E8/D3</f>
        <v>0.54263007569501054</v>
      </c>
      <c r="G8" s="193">
        <f>F8*G4</f>
        <v>90919.839703001795</v>
      </c>
      <c r="H8" s="189">
        <f t="shared" si="0"/>
        <v>298470.16029699822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401</v>
      </c>
      <c r="C9" s="184">
        <v>677635</v>
      </c>
      <c r="D9" s="185">
        <f>C9/D3</f>
        <v>1.3808178926498067</v>
      </c>
      <c r="E9" s="186"/>
      <c r="F9" s="187"/>
      <c r="G9" s="188">
        <f>G4*D9</f>
        <v>231361.56118504572</v>
      </c>
      <c r="H9" s="189">
        <f>H4*D9</f>
        <v>446273.43881495425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402</v>
      </c>
      <c r="C10" s="184">
        <f>C45-(C11+C13)</f>
        <v>212462</v>
      </c>
      <c r="D10" s="185">
        <f>C10/D3</f>
        <v>0.43293414759887439</v>
      </c>
      <c r="E10" s="186"/>
      <c r="F10" s="187"/>
      <c r="G10" s="188">
        <f>D10*G4</f>
        <v>72539.848166781798</v>
      </c>
      <c r="H10" s="189">
        <f t="shared" ref="H10:H15" si="1">C10-G10</f>
        <v>139922.1518332182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43</v>
      </c>
      <c r="C11" s="184">
        <f>C40+C44</f>
        <v>55573</v>
      </c>
      <c r="D11" s="185">
        <f>C11/D3</f>
        <v>0.11324118846905444</v>
      </c>
      <c r="E11" s="186"/>
      <c r="F11" s="187"/>
      <c r="G11" s="188">
        <v>0</v>
      </c>
      <c r="H11" s="189">
        <f t="shared" si="1"/>
        <v>55573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403</v>
      </c>
      <c r="C12" s="184">
        <v>0</v>
      </c>
      <c r="D12" s="185">
        <f>C12/D3</f>
        <v>0</v>
      </c>
      <c r="E12" s="191">
        <f>C12*D28</f>
        <v>0</v>
      </c>
      <c r="F12" s="192">
        <f>E12/D3</f>
        <v>0</v>
      </c>
      <c r="G12" s="188">
        <f>F12*G4</f>
        <v>0</v>
      </c>
      <c r="H12" s="189">
        <f t="shared" si="1"/>
        <v>0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84">
        <f>C43</f>
        <v>227385</v>
      </c>
      <c r="D13" s="185">
        <f>C13/D3</f>
        <v>0.46334276789152906</v>
      </c>
      <c r="E13" s="191"/>
      <c r="F13" s="192"/>
      <c r="G13" s="188">
        <v>0</v>
      </c>
      <c r="H13" s="189">
        <f t="shared" si="1"/>
        <v>227385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404</v>
      </c>
      <c r="C14" s="195">
        <f>C61</f>
        <v>513702.20422110718</v>
      </c>
      <c r="D14" s="196">
        <f>C14/D3</f>
        <v>1.0467717799141867</v>
      </c>
      <c r="E14" s="191">
        <f>C14*(D29)</f>
        <v>166534.85782411479</v>
      </c>
      <c r="F14" s="192">
        <f>E14/D3</f>
        <v>0.33934833860917657</v>
      </c>
      <c r="G14" s="188">
        <f>F14*G4</f>
        <v>56859.171527321974</v>
      </c>
      <c r="H14" s="189">
        <f t="shared" si="1"/>
        <v>456843.03269378521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405</v>
      </c>
      <c r="C15" s="184">
        <f>107627.750189487-C16</f>
        <v>52054.886497555453</v>
      </c>
      <c r="D15" s="185">
        <f>C15/D3</f>
        <v>0.10607232311742959</v>
      </c>
      <c r="E15" s="186"/>
      <c r="F15" s="187"/>
      <c r="G15" s="188">
        <f>G4*D15</f>
        <v>17772.842027617797</v>
      </c>
      <c r="H15" s="189">
        <f t="shared" si="1"/>
        <v>34282.044469937653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55572.86369193154</v>
      </c>
      <c r="D16" s="185"/>
      <c r="E16" s="186"/>
      <c r="F16" s="187"/>
      <c r="G16" s="188"/>
      <c r="H16" s="189">
        <f>C16</f>
        <v>55572.86369193154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406</v>
      </c>
      <c r="C17" s="184">
        <f>C56</f>
        <v>127471.7</v>
      </c>
      <c r="D17" s="185">
        <f>C17/D3</f>
        <v>0.25974928120077678</v>
      </c>
      <c r="E17" s="186"/>
      <c r="F17" s="187"/>
      <c r="G17" s="188">
        <f>D17*G4</f>
        <v>43522.031062314956</v>
      </c>
      <c r="H17" s="189">
        <f t="shared" ref="H17:H18" si="2">C17-G17</f>
        <v>83949.668937685041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407</v>
      </c>
      <c r="C18" s="318">
        <f>C65</f>
        <v>356248.66666666669</v>
      </c>
      <c r="D18" s="319">
        <f>C18/D3</f>
        <v>0.72592846173230452</v>
      </c>
      <c r="E18" s="202"/>
      <c r="F18" s="203"/>
      <c r="G18" s="204">
        <f>D18*G4</f>
        <v>121632.21747709456</v>
      </c>
      <c r="H18" s="205">
        <f t="shared" si="2"/>
        <v>234616.44918957213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3491270.3210772607</v>
      </c>
      <c r="D19" s="268"/>
      <c r="E19" s="269"/>
      <c r="F19" s="270"/>
      <c r="G19" s="271">
        <f t="shared" ref="G19:H19" si="3">SUM(G6:G18)</f>
        <v>815706.47940981667</v>
      </c>
      <c r="H19" s="272">
        <f t="shared" si="3"/>
        <v>2675563.8416674444</v>
      </c>
      <c r="I19" s="214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4">C20-G20</f>
        <v>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4"/>
        <v>323195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3982019.3210772607</v>
      </c>
      <c r="D22" s="282"/>
      <c r="E22" s="283"/>
      <c r="F22" s="284"/>
      <c r="G22" s="285">
        <f t="shared" ref="G22:H22" si="5">G19+G20+G21</f>
        <v>983260.47940981667</v>
      </c>
      <c r="H22" s="286">
        <f t="shared" si="5"/>
        <v>2998758.8416674444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8.1141669592342733</v>
      </c>
      <c r="D23" s="290"/>
      <c r="E23" s="291"/>
      <c r="F23" s="292"/>
      <c r="G23" s="295">
        <f>(G19+G20+G21)/G4</f>
        <v>5.8683199410925235</v>
      </c>
      <c r="H23" s="294">
        <f>(H20+H21+H19)/H4</f>
        <v>9.2784815410741022</v>
      </c>
      <c r="I23" s="68"/>
      <c r="J23" s="197"/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5.7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16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181</v>
      </c>
      <c r="D33" s="192">
        <v>307.03239608801954</v>
      </c>
      <c r="E33" s="310">
        <f>C33*D33</f>
        <v>55572.86369193154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341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5000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408</v>
      </c>
      <c r="C39" s="310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5</v>
      </c>
      <c r="B40" s="187" t="s">
        <v>383</v>
      </c>
      <c r="C40" s="310">
        <v>51573</v>
      </c>
      <c r="D40" s="68" t="s">
        <v>384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6</v>
      </c>
      <c r="B41" s="187" t="s">
        <v>409</v>
      </c>
      <c r="C41" s="310">
        <v>12412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54">
        <v>7</v>
      </c>
      <c r="B42" s="187" t="s">
        <v>410</v>
      </c>
      <c r="C42" s="310">
        <v>64050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323">
        <v>8</v>
      </c>
      <c r="B43" s="324" t="s">
        <v>411</v>
      </c>
      <c r="C43" s="325">
        <v>227385</v>
      </c>
      <c r="D43" s="326" t="s">
        <v>384</v>
      </c>
      <c r="E43" s="326" t="s">
        <v>118</v>
      </c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54">
        <v>9</v>
      </c>
      <c r="B44" s="187" t="s">
        <v>412</v>
      </c>
      <c r="C44" s="310">
        <v>4000</v>
      </c>
      <c r="D44" s="68" t="s">
        <v>384</v>
      </c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261"/>
      <c r="B45" s="311" t="s">
        <v>35</v>
      </c>
      <c r="C45" s="312">
        <f>SUM(C36:C44)</f>
        <v>495420</v>
      </c>
      <c r="D45" s="68"/>
      <c r="E45" s="214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49"/>
      <c r="B46" s="68"/>
      <c r="C46" s="68"/>
      <c r="D46" s="68"/>
      <c r="E46" s="214"/>
      <c r="F46" s="68"/>
      <c r="G46" s="21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61" t="s">
        <v>298</v>
      </c>
      <c r="B47" s="261" t="s">
        <v>122</v>
      </c>
      <c r="C47" s="261" t="s">
        <v>309</v>
      </c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54">
        <v>1</v>
      </c>
      <c r="B48" s="187" t="s">
        <v>413</v>
      </c>
      <c r="C48" s="310">
        <v>1250</v>
      </c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54">
        <v>2</v>
      </c>
      <c r="B49" s="187" t="s">
        <v>414</v>
      </c>
      <c r="C49" s="310">
        <v>200</v>
      </c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3.5" customHeight="1" x14ac:dyDescent="0.25">
      <c r="A50" s="254">
        <v>3</v>
      </c>
      <c r="B50" s="187" t="s">
        <v>415</v>
      </c>
      <c r="C50" s="310">
        <v>160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3.5" customHeight="1" x14ac:dyDescent="0.25">
      <c r="A51" s="254">
        <v>4</v>
      </c>
      <c r="B51" s="187" t="s">
        <v>416</v>
      </c>
      <c r="C51" s="310">
        <v>1360</v>
      </c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3.5" customHeight="1" x14ac:dyDescent="0.25">
      <c r="A52" s="254">
        <v>5</v>
      </c>
      <c r="B52" s="187" t="s">
        <v>417</v>
      </c>
      <c r="C52" s="310">
        <v>428</v>
      </c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3.5" customHeight="1" x14ac:dyDescent="0.25">
      <c r="A53" s="254">
        <v>6</v>
      </c>
      <c r="B53" s="187" t="s">
        <v>418</v>
      </c>
      <c r="C53" s="310">
        <v>7407</v>
      </c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3.5" customHeight="1" x14ac:dyDescent="0.25">
      <c r="A54" s="254">
        <v>7</v>
      </c>
      <c r="B54" s="187" t="s">
        <v>367</v>
      </c>
      <c r="C54" s="310">
        <v>116666.7</v>
      </c>
      <c r="D54" s="68" t="s">
        <v>368</v>
      </c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54">
        <v>8</v>
      </c>
      <c r="B55" s="187"/>
      <c r="C55" s="310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61"/>
      <c r="B56" s="311" t="s">
        <v>35</v>
      </c>
      <c r="C56" s="312">
        <f>SUM(C48:C55)</f>
        <v>127471.7</v>
      </c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49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61" t="s">
        <v>298</v>
      </c>
      <c r="B58" s="313" t="s">
        <v>349</v>
      </c>
      <c r="C58" s="261" t="s">
        <v>309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54">
        <v>1</v>
      </c>
      <c r="B59" s="187" t="s">
        <v>419</v>
      </c>
      <c r="C59" s="310">
        <v>513702.20422110718</v>
      </c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2</v>
      </c>
      <c r="B60" s="187"/>
      <c r="C60" s="310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61"/>
      <c r="B61" s="311" t="s">
        <v>35</v>
      </c>
      <c r="C61" s="312">
        <f>SUM(C59:C60)</f>
        <v>513702.20422110718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49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 t="s">
        <v>298</v>
      </c>
      <c r="B63" s="187" t="s">
        <v>274</v>
      </c>
      <c r="C63" s="187" t="s">
        <v>309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3">
      <c r="A64" s="254">
        <v>1</v>
      </c>
      <c r="B64" s="187" t="s">
        <v>394</v>
      </c>
      <c r="C64" s="322">
        <v>1068746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61"/>
      <c r="B65" s="311" t="s">
        <v>420</v>
      </c>
      <c r="C65" s="312">
        <f>C64/3</f>
        <v>356248.66666666669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49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49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49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49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49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49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49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49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49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49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49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49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49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49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49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5.75" customHeight="1" x14ac:dyDescent="0.25"/>
    <row r="267" spans="1:26" ht="15.75" customHeight="1" x14ac:dyDescent="0.25"/>
    <row r="268" spans="1:26" ht="15.75" customHeight="1" x14ac:dyDescent="0.25"/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dataValidations count="1">
    <dataValidation type="list" allowBlank="1" showErrorMessage="1" sqref="I14" xr:uid="{00000000-0002-0000-1D00-000000000000}">
      <formula1>"Percentage basis,SFT basis"</formula1>
    </dataValidation>
  </dataValidation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42578125" customWidth="1"/>
    <col min="7" max="7" width="10.5703125" customWidth="1"/>
    <col min="8" max="8" width="9.28515625" customWidth="1"/>
    <col min="9" max="26" width="12.42578125" customWidth="1"/>
  </cols>
  <sheetData>
    <row r="1" spans="1:26" x14ac:dyDescent="0.25">
      <c r="A1" s="381" t="s">
        <v>396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'CAM-Jul`24'!H23</f>
        <v>9.2784815410741022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30721.052382496353</v>
      </c>
      <c r="G5" s="110">
        <f>C5*65%</f>
        <v>2152.15</v>
      </c>
      <c r="H5" s="111">
        <f>F5/G5</f>
        <v>14.274586986267849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35406.685560738777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35388.128597656629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33847.900661838328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31880.862575130614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25265.305236344779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12813.583008223335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7005.2535635109471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62397.788363723339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71314.40912469555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90131.169689993825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88275.473381779011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C24*'CAM-Jul`24'!G23</f>
        <v>983260.47940981667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320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321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321">
        <f>C30*F2</f>
        <v>18556.963082148206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321">
        <f>C31*F2</f>
        <v>5446.4686646104983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321">
        <f>C32*F2</f>
        <v>28299.368700276013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321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321">
        <f>C34*F2</f>
        <v>106006.65160677161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321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321">
        <f>C36*F2</f>
        <v>20004.406202555765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321">
        <f>C37*F2</f>
        <v>19234.292234646615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321">
        <f>C38*F2</f>
        <v>27158.115470723897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321">
        <f>C39*F2</f>
        <v>12071.304484937407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321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321">
        <f>C41*F2</f>
        <v>80713.51092580361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321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320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19494.089717796687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106006.65160677161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78468.118392863689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80713.51092580361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52302.800447034715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106006.65160677161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321">
        <f>C57*F2</f>
        <v>36714.95145803022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321">
        <f>C58*F2</f>
        <v>13917.722311611153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321">
        <f>C59*F2</f>
        <v>13917.722311611153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321">
        <f>C60*F2</f>
        <v>13917.722311611153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09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80713.51092580361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09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09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52302.800447034715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27835.444623222305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9278.481541074103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31778.799278178802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9278.481541074103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18556.963082148206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9278.481541074103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21340.507544470434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9278.481541074103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10698.08921685844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10688.810735317365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10688.810735317365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7886.709309912987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7886.709309912987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80713.51092580361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24003.431746758703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28299.368700276013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28095.242106372381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24903.444456242891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28095.242106372381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24912.722937783965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78468.118392863689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80713.51092580361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19494.089717796687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103603.52488763342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2403.1267191381926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70887.598973806147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7580.5194190575412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80713.51092580361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14845.570465718563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9157.8612810401391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28299.368700276013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52998.686562615272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53007.965044156343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11496.038629390812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11505.317110931886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11496.038629390812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11496.038629390812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7422.7852328592817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7422.7852328592817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10206.329695181512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7422.7852328592817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42894.420164385578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17601.279483417573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20217.81127800047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52302.800447034715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106006.65160677161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17972.418745060535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60495.699647803143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80713.51092580361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3982019.321077263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7.42578125" customWidth="1"/>
    <col min="4" max="4" width="16" customWidth="1"/>
    <col min="5" max="5" width="14.85546875" customWidth="1"/>
    <col min="6" max="6" width="7.7109375" customWidth="1"/>
    <col min="7" max="7" width="17.42578125" customWidth="1"/>
    <col min="8" max="8" width="17.7109375" customWidth="1"/>
    <col min="9" max="9" width="18.7109375" customWidth="1"/>
    <col min="10" max="10" width="9" customWidth="1"/>
    <col min="11" max="11" width="20" customWidth="1"/>
    <col min="12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421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7.036534522207285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422</v>
      </c>
      <c r="C6" s="184">
        <f>276200+77500+50000</f>
        <v>403700</v>
      </c>
      <c r="D6" s="185">
        <f>C6/D3</f>
        <v>0.82262011741236352</v>
      </c>
      <c r="E6" s="186"/>
      <c r="F6" s="187"/>
      <c r="G6" s="188">
        <f>G4*D6</f>
        <v>137833.29115291114</v>
      </c>
      <c r="H6" s="189">
        <f>H4*D6</f>
        <v>265866.70884708886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423</v>
      </c>
      <c r="C7" s="184">
        <v>458568</v>
      </c>
      <c r="D7" s="185">
        <f>C7/D3</f>
        <v>0.93442472628573869</v>
      </c>
      <c r="E7" s="191">
        <f>C7*(D29)</f>
        <v>148661.14269157124</v>
      </c>
      <c r="F7" s="192">
        <f>E7/D3</f>
        <v>0.30292704150506927</v>
      </c>
      <c r="G7" s="188">
        <f>F7*G4</f>
        <v>50756.637512340378</v>
      </c>
      <c r="H7" s="189">
        <f t="shared" ref="H7:H8" si="0">C7-G7</f>
        <v>407811.36248765961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424</v>
      </c>
      <c r="C8" s="184">
        <v>396600</v>
      </c>
      <c r="D8" s="185">
        <f>C8/D3</f>
        <v>0.80815243637786327</v>
      </c>
      <c r="E8" s="191">
        <f>C8*D28</f>
        <v>271225.92577888916</v>
      </c>
      <c r="F8" s="192">
        <f>E8/D3</f>
        <v>0.5526774904867644</v>
      </c>
      <c r="G8" s="193">
        <f>F8*G4</f>
        <v>92603.32424101932</v>
      </c>
      <c r="H8" s="189">
        <f t="shared" si="0"/>
        <v>303996.67575898068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425</v>
      </c>
      <c r="C9" s="184">
        <v>729655</v>
      </c>
      <c r="D9" s="185">
        <f>C9/D3</f>
        <v>1.4868191274969484</v>
      </c>
      <c r="E9" s="186"/>
      <c r="F9" s="187"/>
      <c r="G9" s="188">
        <f>G4*D9</f>
        <v>249122.49208862369</v>
      </c>
      <c r="H9" s="189">
        <f>H4*D9</f>
        <v>480532.50791137625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426</v>
      </c>
      <c r="C10" s="184">
        <f>C45-(C11+C13)</f>
        <v>136000</v>
      </c>
      <c r="D10" s="185">
        <f>C10/D3</f>
        <v>0.27712741136507663</v>
      </c>
      <c r="E10" s="186"/>
      <c r="F10" s="187"/>
      <c r="G10" s="188">
        <f>D10*G4</f>
        <v>46433.806283864047</v>
      </c>
      <c r="H10" s="189">
        <f t="shared" ref="H10:H15" si="1">C10-G10</f>
        <v>89566.193716135953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43</v>
      </c>
      <c r="C11" s="184">
        <f>C40+C44</f>
        <v>55573</v>
      </c>
      <c r="D11" s="185">
        <f>C11/D3</f>
        <v>0.11324118846905444</v>
      </c>
      <c r="E11" s="186"/>
      <c r="F11" s="187"/>
      <c r="G11" s="188">
        <v>0</v>
      </c>
      <c r="H11" s="189">
        <f t="shared" si="1"/>
        <v>55573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427</v>
      </c>
      <c r="C12" s="184">
        <v>76819</v>
      </c>
      <c r="D12" s="185">
        <f>C12/D3</f>
        <v>0.15653419568863106</v>
      </c>
      <c r="E12" s="191">
        <f>C12*D28</f>
        <v>52534.806839154022</v>
      </c>
      <c r="F12" s="192">
        <f>E12/D3</f>
        <v>0.10705025754337558</v>
      </c>
      <c r="G12" s="188">
        <f>F12*G4</f>
        <v>17936.698852422753</v>
      </c>
      <c r="H12" s="189">
        <f t="shared" si="1"/>
        <v>58882.301147577251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84">
        <f>C43</f>
        <v>0</v>
      </c>
      <c r="D13" s="185">
        <f>C13/D3</f>
        <v>0</v>
      </c>
      <c r="E13" s="191"/>
      <c r="F13" s="192"/>
      <c r="G13" s="188">
        <v>0</v>
      </c>
      <c r="H13" s="189">
        <f t="shared" si="1"/>
        <v>0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428</v>
      </c>
      <c r="C14" s="195">
        <v>473811.30515822402</v>
      </c>
      <c r="D14" s="196">
        <f>C14/D3</f>
        <v>0.96548603289711032</v>
      </c>
      <c r="E14" s="191">
        <f>C14*(D29)</f>
        <v>153602.80273592213</v>
      </c>
      <c r="F14" s="192">
        <f>E14/D3</f>
        <v>0.31299666985754865</v>
      </c>
      <c r="G14" s="188">
        <f>F14*G4</f>
        <v>52443.844021311706</v>
      </c>
      <c r="H14" s="189">
        <f t="shared" si="1"/>
        <v>421367.46113691229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429</v>
      </c>
      <c r="C15" s="184">
        <f>98384.3735457608-E33</f>
        <v>34080.308413812454</v>
      </c>
      <c r="D15" s="185">
        <f>C15/D3</f>
        <v>6.9445497420906527E-2</v>
      </c>
      <c r="E15" s="186"/>
      <c r="F15" s="187"/>
      <c r="G15" s="188">
        <f>G4*D15</f>
        <v>11635.870874862572</v>
      </c>
      <c r="H15" s="189">
        <f t="shared" si="1"/>
        <v>22444.437538949882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64304.065131948344</v>
      </c>
      <c r="D16" s="185"/>
      <c r="E16" s="186"/>
      <c r="F16" s="187"/>
      <c r="G16" s="188"/>
      <c r="H16" s="189">
        <f>C16</f>
        <v>64304.065131948344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430</v>
      </c>
      <c r="C17" s="184">
        <f>C56</f>
        <v>32117</v>
      </c>
      <c r="D17" s="185">
        <f>C17/D3</f>
        <v>6.544486081479535E-2</v>
      </c>
      <c r="E17" s="186"/>
      <c r="F17" s="187"/>
      <c r="G17" s="188">
        <f>D17*G4</f>
        <v>10965.54820896222</v>
      </c>
      <c r="H17" s="189">
        <f t="shared" ref="H17:H18" si="2">C17-G17</f>
        <v>21151.45179103778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431</v>
      </c>
      <c r="C18" s="318">
        <f>C68</f>
        <v>656248.66666666674</v>
      </c>
      <c r="D18" s="319">
        <f>C18/D3</f>
        <v>1.3372389279787973</v>
      </c>
      <c r="E18" s="202"/>
      <c r="F18" s="203"/>
      <c r="G18" s="204">
        <f>D18*G4</f>
        <v>224059.73133855939</v>
      </c>
      <c r="H18" s="205">
        <f t="shared" si="2"/>
        <v>432188.93532810733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3517476.3453706512</v>
      </c>
      <c r="D19" s="268"/>
      <c r="E19" s="269"/>
      <c r="F19" s="270"/>
      <c r="G19" s="271">
        <f t="shared" ref="G19:H19" si="3">SUM(G6:G18)</f>
        <v>893791.24457487732</v>
      </c>
      <c r="H19" s="272">
        <f t="shared" si="3"/>
        <v>2623685.1007957743</v>
      </c>
      <c r="I19" s="214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4">C20-G20</f>
        <v>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4"/>
        <v>323195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4008225.3453706512</v>
      </c>
      <c r="D22" s="282"/>
      <c r="E22" s="283"/>
      <c r="F22" s="284"/>
      <c r="G22" s="285">
        <f t="shared" ref="G22:H22" si="5">G19+G20+G21</f>
        <v>1061345.2445748774</v>
      </c>
      <c r="H22" s="286">
        <f t="shared" si="5"/>
        <v>2946880.1007957743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8.1675670156651385</v>
      </c>
      <c r="D23" s="290"/>
      <c r="E23" s="291"/>
      <c r="F23" s="292"/>
      <c r="G23" s="295">
        <f>(G19+G20+G21)/G4</f>
        <v>6.3343474018816464</v>
      </c>
      <c r="H23" s="294">
        <f>(H20+H21+H19)/H4</f>
        <v>9.1179631516445934</v>
      </c>
      <c r="I23" s="68"/>
      <c r="J23" s="197"/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5.7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17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228</v>
      </c>
      <c r="D33" s="192">
        <v>282.03537338573835</v>
      </c>
      <c r="E33" s="310">
        <f>C33*D33</f>
        <v>64304.065131948344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341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5000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432</v>
      </c>
      <c r="C39" s="310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5</v>
      </c>
      <c r="B40" s="187" t="s">
        <v>383</v>
      </c>
      <c r="C40" s="310">
        <v>51573</v>
      </c>
      <c r="D40" s="68" t="s">
        <v>384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6</v>
      </c>
      <c r="B41" s="187" t="s">
        <v>409</v>
      </c>
      <c r="C41" s="310">
        <v>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54">
        <v>7</v>
      </c>
      <c r="B42" s="187" t="s">
        <v>410</v>
      </c>
      <c r="C42" s="310">
        <v>0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323">
        <v>8</v>
      </c>
      <c r="B43" s="324" t="s">
        <v>411</v>
      </c>
      <c r="C43" s="325">
        <v>0</v>
      </c>
      <c r="D43" s="326" t="s">
        <v>384</v>
      </c>
      <c r="E43" s="326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54">
        <v>9</v>
      </c>
      <c r="B44" s="187" t="s">
        <v>412</v>
      </c>
      <c r="C44" s="310">
        <v>4000</v>
      </c>
      <c r="D44" s="68" t="s">
        <v>384</v>
      </c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261"/>
      <c r="B45" s="311" t="s">
        <v>35</v>
      </c>
      <c r="C45" s="312">
        <f>SUM(C36:C44)</f>
        <v>191573</v>
      </c>
      <c r="D45" s="68"/>
      <c r="E45" s="214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49"/>
      <c r="B46" s="68"/>
      <c r="C46" s="68"/>
      <c r="D46" s="68"/>
      <c r="E46" s="214"/>
      <c r="F46" s="68"/>
      <c r="G46" s="21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61" t="s">
        <v>298</v>
      </c>
      <c r="B47" s="261" t="s">
        <v>122</v>
      </c>
      <c r="C47" s="261" t="s">
        <v>309</v>
      </c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54">
        <v>1</v>
      </c>
      <c r="B48" s="187" t="s">
        <v>433</v>
      </c>
      <c r="C48" s="310">
        <v>15911</v>
      </c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54">
        <v>2</v>
      </c>
      <c r="B49" s="187" t="s">
        <v>434</v>
      </c>
      <c r="C49" s="310">
        <v>10740</v>
      </c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3.5" customHeight="1" x14ac:dyDescent="0.25">
      <c r="A50" s="254">
        <v>3</v>
      </c>
      <c r="B50" s="187" t="s">
        <v>435</v>
      </c>
      <c r="C50" s="310">
        <v>5466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3.5" customHeight="1" x14ac:dyDescent="0.25">
      <c r="A51" s="254">
        <v>4</v>
      </c>
      <c r="B51" s="187"/>
      <c r="C51" s="310">
        <v>0</v>
      </c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3.5" customHeight="1" x14ac:dyDescent="0.25">
      <c r="A52" s="254">
        <v>5</v>
      </c>
      <c r="B52" s="187"/>
      <c r="C52" s="310">
        <v>0</v>
      </c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3.5" customHeight="1" x14ac:dyDescent="0.25">
      <c r="A53" s="254">
        <v>6</v>
      </c>
      <c r="B53" s="187"/>
      <c r="C53" s="310">
        <v>0</v>
      </c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3.5" customHeight="1" x14ac:dyDescent="0.25">
      <c r="A54" s="254">
        <v>7</v>
      </c>
      <c r="B54" s="187"/>
      <c r="C54" s="310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54">
        <v>8</v>
      </c>
      <c r="B55" s="187"/>
      <c r="C55" s="310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61"/>
      <c r="B56" s="311" t="s">
        <v>35</v>
      </c>
      <c r="C56" s="312">
        <f>SUM(C48:C55)</f>
        <v>32117</v>
      </c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49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61" t="s">
        <v>298</v>
      </c>
      <c r="B58" s="313" t="s">
        <v>349</v>
      </c>
      <c r="C58" s="261" t="s">
        <v>309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54">
        <v>1</v>
      </c>
      <c r="B59" s="187" t="s">
        <v>436</v>
      </c>
      <c r="C59" s="310">
        <v>513702.20422110718</v>
      </c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2</v>
      </c>
      <c r="B60" s="187"/>
      <c r="C60" s="310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61"/>
      <c r="B61" s="311" t="s">
        <v>35</v>
      </c>
      <c r="C61" s="312">
        <f>SUM(C59:C60)</f>
        <v>513702.20422110718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49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 t="s">
        <v>298</v>
      </c>
      <c r="B63" s="187" t="s">
        <v>274</v>
      </c>
      <c r="C63" s="187" t="s">
        <v>309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3">
      <c r="A64" s="254">
        <v>1</v>
      </c>
      <c r="B64" s="187" t="s">
        <v>394</v>
      </c>
      <c r="C64" s="322">
        <v>1068746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3">
      <c r="A65" s="254">
        <v>2</v>
      </c>
      <c r="B65" s="187" t="s">
        <v>437</v>
      </c>
      <c r="C65" s="322">
        <v>900000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61"/>
      <c r="B66" s="311" t="s">
        <v>438</v>
      </c>
      <c r="C66" s="312">
        <f t="shared" ref="C66:C67" si="6">C64/3</f>
        <v>356248.66666666669</v>
      </c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54"/>
      <c r="B67" s="311" t="s">
        <v>439</v>
      </c>
      <c r="C67" s="311">
        <f t="shared" si="6"/>
        <v>300000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54"/>
      <c r="B68" s="187"/>
      <c r="C68" s="327">
        <f>SUM(C66:C67)</f>
        <v>656248.66666666674</v>
      </c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49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49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49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49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49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49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49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49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49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49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49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49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dataValidations count="1">
    <dataValidation type="list" allowBlank="1" showErrorMessage="1" sqref="I14" xr:uid="{00000000-0002-0000-1F00-000000000000}">
      <formula1>"Percentage basis,SFT basis"</formula1>
    </dataValidation>
  </dataValidations>
  <pageMargins left="0.7" right="0.7" top="0.75" bottom="0.75" header="0" footer="0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42578125" customWidth="1"/>
    <col min="7" max="7" width="10.5703125" customWidth="1"/>
    <col min="8" max="8" width="9.28515625" customWidth="1"/>
    <col min="9" max="26" width="12.42578125" customWidth="1"/>
  </cols>
  <sheetData>
    <row r="1" spans="1:26" x14ac:dyDescent="0.25">
      <c r="A1" s="381" t="s">
        <v>440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'CAM-Aug`24'!H23</f>
        <v>9.1179631516445934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30189.575995095249</v>
      </c>
      <c r="G5" s="110">
        <f>C5*65%</f>
        <v>2152.15</v>
      </c>
      <c r="H5" s="111">
        <f>F5/G5</f>
        <v>14.027635617914758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34794.147386675766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34775.911460372481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33262.329577199474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31329.321389050823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24828.213661928228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12591.907112421184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6884.0621794916678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61318.30219480989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70080.664783540342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88571.89405507558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86748.301424746664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C24*'CAM-Aug`24'!G23</f>
        <v>1061345.2445748774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320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321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321">
        <f>C30*F2</f>
        <v>18235.926303289187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321">
        <f>C31*F2</f>
        <v>5352.2443700153763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321">
        <f>C32*F2</f>
        <v>27809.787612516011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321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321">
        <f>C34*F2</f>
        <v>104172.72900753948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321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321">
        <f>C36*F2</f>
        <v>19658.328554945743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321">
        <f>C37*F2</f>
        <v>18901.537613359244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321">
        <f>C38*F2</f>
        <v>26688.278144863725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321">
        <f>C39*F2</f>
        <v>11862.470060289616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321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321">
        <f>C41*F2</f>
        <v>79317.161456156318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321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320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19156.840581605291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104172.72900753948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77110.614373458331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79317.161456156318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51397.958285820576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104172.72900753948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321">
        <f>C57*F2</f>
        <v>36079.780191057653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321">
        <f>C58*F2</f>
        <v>13676.944727466889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321">
        <f>C59*F2</f>
        <v>13676.944727466889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321">
        <f>C60*F2</f>
        <v>13676.944727466889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09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79317.161456156318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09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09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51397.958285820576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27353.889454933778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9117.9631516445934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31229.023794382731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9117.9631516445934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18235.926303289187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9117.9631516445934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20971.315248782565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9117.9631516445934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10513.011513846217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10503.893550694571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10503.893550694571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7750.2686788979045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7750.2686788979045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79317.161456156318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23588.170673304565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27809.787612516011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27609.192423179829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24472.613099014088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27609.192423179829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24481.731062165734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77110.614373458331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79317.161456156318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19156.840581605291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101811.17655126353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2361.5524562759497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69661.238478564686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7449.3758948936329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79317.161456156318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14588.741042631349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8999.429630673214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27809.787612516011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52081.805522193914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52090.923485345564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11297.156344887651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11306.274308039296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11297.156344887651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11297.156344887651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7294.3705213156745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7294.3705213156745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10029.759466809053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7294.3705213156745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42152.343650052957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17296.776098669794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19868.041707433567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51397.958285820576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104172.72900753948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17661.494624735577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59449.119748722747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79317.161456156318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4008225.345370654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7.42578125" customWidth="1"/>
    <col min="4" max="4" width="16" customWidth="1"/>
    <col min="5" max="5" width="14.85546875" customWidth="1"/>
    <col min="6" max="6" width="7.7109375" customWidth="1"/>
    <col min="7" max="7" width="17.42578125" customWidth="1"/>
    <col min="8" max="8" width="17.7109375" customWidth="1"/>
    <col min="9" max="9" width="18.7109375" customWidth="1"/>
    <col min="10" max="10" width="9" customWidth="1"/>
    <col min="11" max="11" width="20" customWidth="1"/>
    <col min="12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441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6.7112785747730728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442</v>
      </c>
      <c r="C6" s="184">
        <f>276200+77500+50000</f>
        <v>403700</v>
      </c>
      <c r="D6" s="185">
        <f>C6/D3</f>
        <v>0.82262011741236352</v>
      </c>
      <c r="E6" s="186"/>
      <c r="F6" s="187"/>
      <c r="G6" s="188">
        <f>G4*D6</f>
        <v>137833.29115291114</v>
      </c>
      <c r="H6" s="189">
        <f>H4*D6</f>
        <v>265866.70884708886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443</v>
      </c>
      <c r="C7" s="184">
        <v>454526.61</v>
      </c>
      <c r="D7" s="185">
        <f>C7/D3</f>
        <v>0.92618957960179238</v>
      </c>
      <c r="E7" s="191">
        <f>C7*(D29)</f>
        <v>147350.9822454383</v>
      </c>
      <c r="F7" s="192">
        <f>E7/D3</f>
        <v>0.30025732552779177</v>
      </c>
      <c r="G7" s="188">
        <f>F7*G4</f>
        <v>50309.31592148362</v>
      </c>
      <c r="H7" s="189">
        <f t="shared" ref="H7:H8" si="0">C7-G7</f>
        <v>404217.29407851637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444</v>
      </c>
      <c r="C8" s="184">
        <v>380810</v>
      </c>
      <c r="D8" s="185">
        <f>C8/D3</f>
        <v>0.77597712883775616</v>
      </c>
      <c r="E8" s="191">
        <f>C8*D28</f>
        <v>260427.49570312348</v>
      </c>
      <c r="F8" s="192">
        <f>E8/D3</f>
        <v>0.53067351273894292</v>
      </c>
      <c r="G8" s="193">
        <f>F8*G4</f>
        <v>88916.469753460842</v>
      </c>
      <c r="H8" s="189">
        <f t="shared" si="0"/>
        <v>291893.53024653916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445</v>
      </c>
      <c r="C9" s="184">
        <v>757772.45</v>
      </c>
      <c r="D9" s="185">
        <f>C9/D3</f>
        <v>1.5441140990608233</v>
      </c>
      <c r="E9" s="186"/>
      <c r="F9" s="187"/>
      <c r="G9" s="188">
        <f>G4*D9</f>
        <v>258722.49375403719</v>
      </c>
      <c r="H9" s="189">
        <f>H4*D9</f>
        <v>499049.95624596276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446</v>
      </c>
      <c r="C10" s="184">
        <f>C45-(C11+C13)</f>
        <v>136000</v>
      </c>
      <c r="D10" s="185">
        <f>C10/D3</f>
        <v>0.27712741136507663</v>
      </c>
      <c r="E10" s="186"/>
      <c r="F10" s="187"/>
      <c r="G10" s="188">
        <f>D10*G4</f>
        <v>46433.806283864047</v>
      </c>
      <c r="H10" s="189">
        <f t="shared" ref="H10:H15" si="1">C10-G10</f>
        <v>89566.193716135953</v>
      </c>
      <c r="I10" s="68"/>
      <c r="J10" s="68"/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43</v>
      </c>
      <c r="C11" s="184">
        <f>C40+C44</f>
        <v>36451.35</v>
      </c>
      <c r="D11" s="185">
        <f>C11/D3</f>
        <v>7.4276972546046954E-2</v>
      </c>
      <c r="E11" s="186"/>
      <c r="F11" s="187"/>
      <c r="G11" s="188">
        <v>0</v>
      </c>
      <c r="H11" s="189">
        <f t="shared" si="1"/>
        <v>36451.35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447</v>
      </c>
      <c r="C12" s="184">
        <v>0</v>
      </c>
      <c r="D12" s="185">
        <f>C12/D3</f>
        <v>0</v>
      </c>
      <c r="E12" s="191">
        <f>C12*D28</f>
        <v>0</v>
      </c>
      <c r="F12" s="192">
        <f>E12/D3</f>
        <v>0</v>
      </c>
      <c r="G12" s="188">
        <f>F12*G4</f>
        <v>0</v>
      </c>
      <c r="H12" s="189">
        <f t="shared" si="1"/>
        <v>0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84">
        <f>C43</f>
        <v>0</v>
      </c>
      <c r="D13" s="185">
        <f>C13/D3</f>
        <v>0</v>
      </c>
      <c r="E13" s="191"/>
      <c r="F13" s="192"/>
      <c r="G13" s="188">
        <v>0</v>
      </c>
      <c r="H13" s="189">
        <f t="shared" si="1"/>
        <v>0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448</v>
      </c>
      <c r="C14" s="195">
        <v>626737.19881121011</v>
      </c>
      <c r="D14" s="196">
        <f>C14/D3</f>
        <v>1.2771033640643386</v>
      </c>
      <c r="E14" s="191">
        <f>C14*(D29)</f>
        <v>203179.17548234711</v>
      </c>
      <c r="F14" s="192">
        <f>E14/D3</f>
        <v>0.41401852165230518</v>
      </c>
      <c r="G14" s="188">
        <f>F14*G4</f>
        <v>69370.459376930346</v>
      </c>
      <c r="H14" s="189">
        <f t="shared" si="1"/>
        <v>557366.73943427973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449</v>
      </c>
      <c r="C15" s="184">
        <f>119637.430480101-E33</f>
        <v>61593.640480100999</v>
      </c>
      <c r="D15" s="185">
        <f>C15/D3</f>
        <v>0.12550945693236462</v>
      </c>
      <c r="E15" s="186"/>
      <c r="F15" s="187"/>
      <c r="G15" s="188">
        <f>G4*D15</f>
        <v>21029.611546845423</v>
      </c>
      <c r="H15" s="189">
        <f t="shared" si="1"/>
        <v>40564.028933255577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58043.79</v>
      </c>
      <c r="D16" s="185"/>
      <c r="E16" s="186"/>
      <c r="F16" s="187"/>
      <c r="G16" s="188"/>
      <c r="H16" s="189">
        <f>C16</f>
        <v>58043.79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450</v>
      </c>
      <c r="C17" s="184">
        <f>C56</f>
        <v>135962</v>
      </c>
      <c r="D17" s="185">
        <f>C17/D3</f>
        <v>0.27704997870601877</v>
      </c>
      <c r="E17" s="186"/>
      <c r="F17" s="187"/>
      <c r="G17" s="188">
        <f>D17*G4</f>
        <v>46420.832132108269</v>
      </c>
      <c r="H17" s="189">
        <f t="shared" ref="H17:H18" si="2">C17-G17</f>
        <v>89541.167867891723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451</v>
      </c>
      <c r="C18" s="318">
        <f>C68</f>
        <v>300000</v>
      </c>
      <c r="D18" s="319">
        <f>C18/D3</f>
        <v>0.61131046624649266</v>
      </c>
      <c r="E18" s="202"/>
      <c r="F18" s="203"/>
      <c r="G18" s="204">
        <f>D18*G4</f>
        <v>102427.51386146483</v>
      </c>
      <c r="H18" s="205">
        <f t="shared" si="2"/>
        <v>197572.48613853517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3351597.0392913111</v>
      </c>
      <c r="D19" s="268"/>
      <c r="E19" s="269"/>
      <c r="F19" s="270"/>
      <c r="G19" s="271">
        <f t="shared" ref="G19:H19" si="3">SUM(G6:G18)</f>
        <v>821463.79378310568</v>
      </c>
      <c r="H19" s="272">
        <f t="shared" si="3"/>
        <v>2530133.2455082056</v>
      </c>
      <c r="I19" s="214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4">C20-G20</f>
        <v>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4"/>
        <v>323195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3842346.0392913111</v>
      </c>
      <c r="D22" s="282"/>
      <c r="E22" s="283"/>
      <c r="F22" s="284"/>
      <c r="G22" s="285">
        <f t="shared" ref="G22:H22" si="5">G19+G20+G21</f>
        <v>989017.79378310568</v>
      </c>
      <c r="H22" s="286">
        <f t="shared" si="5"/>
        <v>2853328.2455082056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7.8295544958651186</v>
      </c>
      <c r="D23" s="290"/>
      <c r="E23" s="291"/>
      <c r="F23" s="292"/>
      <c r="G23" s="295">
        <f>(G19+G20+G21)/G4</f>
        <v>5.9026808896421787</v>
      </c>
      <c r="H23" s="294">
        <f>(H20+H21+H19)/H4</f>
        <v>8.8285036758248285</v>
      </c>
      <c r="I23" s="68"/>
      <c r="J23" s="197"/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5.7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18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189</v>
      </c>
      <c r="D33" s="192">
        <v>307.11</v>
      </c>
      <c r="E33" s="310">
        <f>C33*D33</f>
        <v>58043.79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341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5000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452</v>
      </c>
      <c r="C39" s="310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5</v>
      </c>
      <c r="B40" s="187" t="s">
        <v>383</v>
      </c>
      <c r="C40" s="310">
        <v>36451.35</v>
      </c>
      <c r="D40" s="68" t="s">
        <v>384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6</v>
      </c>
      <c r="B41" s="187" t="s">
        <v>409</v>
      </c>
      <c r="C41" s="310">
        <v>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54">
        <v>7</v>
      </c>
      <c r="B42" s="187" t="s">
        <v>410</v>
      </c>
      <c r="C42" s="310">
        <v>0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54">
        <v>8</v>
      </c>
      <c r="B43" s="187" t="s">
        <v>453</v>
      </c>
      <c r="C43" s="310">
        <v>0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54">
        <v>9</v>
      </c>
      <c r="B44" s="187"/>
      <c r="C44" s="310">
        <v>0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261"/>
      <c r="B45" s="311" t="s">
        <v>35</v>
      </c>
      <c r="C45" s="312">
        <f>SUM(C36:C44)</f>
        <v>172451.35</v>
      </c>
      <c r="D45" s="68"/>
      <c r="E45" s="214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49"/>
      <c r="B46" s="68"/>
      <c r="C46" s="68"/>
      <c r="D46" s="68"/>
      <c r="E46" s="214"/>
      <c r="F46" s="68"/>
      <c r="G46" s="21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61" t="s">
        <v>298</v>
      </c>
      <c r="B47" s="261" t="s">
        <v>122</v>
      </c>
      <c r="C47" s="261" t="s">
        <v>309</v>
      </c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54">
        <v>1</v>
      </c>
      <c r="B48" s="187" t="s">
        <v>454</v>
      </c>
      <c r="C48" s="310">
        <v>133812</v>
      </c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54">
        <v>2</v>
      </c>
      <c r="B49" s="187" t="s">
        <v>455</v>
      </c>
      <c r="C49" s="310">
        <v>2000</v>
      </c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3.5" customHeight="1" x14ac:dyDescent="0.25">
      <c r="A50" s="254">
        <v>3</v>
      </c>
      <c r="B50" s="187" t="s">
        <v>456</v>
      </c>
      <c r="C50" s="310">
        <v>150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3.5" customHeight="1" x14ac:dyDescent="0.25">
      <c r="A51" s="254">
        <v>4</v>
      </c>
      <c r="B51" s="187"/>
      <c r="C51" s="310">
        <v>0</v>
      </c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3.5" customHeight="1" x14ac:dyDescent="0.25">
      <c r="A52" s="254">
        <v>5</v>
      </c>
      <c r="B52" s="187"/>
      <c r="C52" s="310">
        <v>0</v>
      </c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3.5" customHeight="1" x14ac:dyDescent="0.25">
      <c r="A53" s="254">
        <v>6</v>
      </c>
      <c r="B53" s="187"/>
      <c r="C53" s="310">
        <v>0</v>
      </c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3.5" customHeight="1" x14ac:dyDescent="0.25">
      <c r="A54" s="254">
        <v>7</v>
      </c>
      <c r="B54" s="187"/>
      <c r="C54" s="310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54">
        <v>8</v>
      </c>
      <c r="B55" s="187"/>
      <c r="C55" s="310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61"/>
      <c r="B56" s="311" t="s">
        <v>35</v>
      </c>
      <c r="C56" s="312">
        <f>SUM(C48:C55)</f>
        <v>135962</v>
      </c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49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61" t="s">
        <v>298</v>
      </c>
      <c r="B58" s="313" t="s">
        <v>349</v>
      </c>
      <c r="C58" s="261" t="s">
        <v>309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54">
        <v>1</v>
      </c>
      <c r="B59" s="187" t="s">
        <v>457</v>
      </c>
      <c r="C59" s="195">
        <v>626737.19881121011</v>
      </c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2</v>
      </c>
      <c r="B60" s="187"/>
      <c r="C60" s="310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61"/>
      <c r="B61" s="311" t="s">
        <v>35</v>
      </c>
      <c r="C61" s="312">
        <f>SUM(C59:C60)</f>
        <v>626737.19881121011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49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 t="s">
        <v>298</v>
      </c>
      <c r="B63" s="187" t="s">
        <v>274</v>
      </c>
      <c r="C63" s="187" t="s">
        <v>309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3">
      <c r="A64" s="254">
        <v>1</v>
      </c>
      <c r="B64" s="187" t="s">
        <v>437</v>
      </c>
      <c r="C64" s="322">
        <v>900000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3">
      <c r="A65" s="254">
        <v>2</v>
      </c>
      <c r="B65" s="187"/>
      <c r="C65" s="322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61"/>
      <c r="B66" s="311" t="s">
        <v>458</v>
      </c>
      <c r="C66" s="312">
        <f t="shared" ref="C66:C67" si="6">C64/3</f>
        <v>300000</v>
      </c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54"/>
      <c r="B67" s="311"/>
      <c r="C67" s="311">
        <f t="shared" si="6"/>
        <v>0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54"/>
      <c r="B68" s="187"/>
      <c r="C68" s="327">
        <f>SUM(C66:C67)</f>
        <v>300000</v>
      </c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49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49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49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49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49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49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49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49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49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49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49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49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dataValidations count="1">
    <dataValidation type="list" allowBlank="1" showErrorMessage="1" sqref="I14" xr:uid="{00000000-0002-0000-2100-000000000000}">
      <formula1>"Percentage basis,SFT basis"</formula1>
    </dataValidation>
  </dataValidations>
  <pageMargins left="0.7" right="0.7" top="0.75" bottom="0.75" header="0" footer="0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42578125" customWidth="1"/>
    <col min="7" max="7" width="10.5703125" customWidth="1"/>
    <col min="8" max="8" width="9.28515625" customWidth="1"/>
    <col min="9" max="26" width="12.42578125" customWidth="1"/>
  </cols>
  <sheetData>
    <row r="1" spans="1:26" x14ac:dyDescent="0.25">
      <c r="A1" s="381" t="s">
        <v>459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'CAM-Sep`24'!H23</f>
        <v>8.8285036758248285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29231.175670656008</v>
      </c>
      <c r="G5" s="110">
        <f>C5*65%</f>
        <v>2152.15</v>
      </c>
      <c r="H5" s="111">
        <f>F5/G5</f>
        <v>13.582313347422813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33689.570026947549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33671.913019595893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32206.381409408976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30334.73863013411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24040.015509271008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12192.163576314088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6665.5202752477453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138</v>
      </c>
      <c r="C16" s="106">
        <f>6725</f>
        <v>6725</v>
      </c>
      <c r="D16" s="107" t="s">
        <v>163</v>
      </c>
      <c r="E16" s="108"/>
      <c r="F16" s="109">
        <f>C16*F2</f>
        <v>59371.687219921972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141</v>
      </c>
      <c r="C17" s="106">
        <f>7686</f>
        <v>7686</v>
      </c>
      <c r="D17" s="107" t="s">
        <v>163</v>
      </c>
      <c r="E17" s="108"/>
      <c r="F17" s="109">
        <f>C17*F2</f>
        <v>67855.879252389626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144</v>
      </c>
      <c r="C18" s="106">
        <f>9714</f>
        <v>9714</v>
      </c>
      <c r="D18" s="107" t="s">
        <v>164</v>
      </c>
      <c r="E18" s="108"/>
      <c r="F18" s="109">
        <f>C18*F2</f>
        <v>85760.084706962385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147</v>
      </c>
      <c r="C19" s="106">
        <f>9514</f>
        <v>9514</v>
      </c>
      <c r="D19" s="107" t="s">
        <v>142</v>
      </c>
      <c r="E19" s="108"/>
      <c r="F19" s="109">
        <f>C19*F2</f>
        <v>83994.383971797419</v>
      </c>
      <c r="G19" s="112"/>
      <c r="H19" s="120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398" t="s">
        <v>35</v>
      </c>
      <c r="B20" s="375"/>
      <c r="C20" s="106">
        <f>C16+C17+C18+C19</f>
        <v>33639</v>
      </c>
      <c r="D20" s="107"/>
      <c r="E20" s="108"/>
      <c r="F20" s="115"/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/>
      <c r="B21" s="122"/>
      <c r="C21" s="123"/>
      <c r="D21" s="107"/>
      <c r="E21" s="108"/>
      <c r="F21" s="115"/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6" t="s">
        <v>165</v>
      </c>
      <c r="B22" s="374"/>
      <c r="C22" s="374"/>
      <c r="D22" s="397"/>
      <c r="E22" s="116"/>
      <c r="F22" s="117"/>
      <c r="G22" s="112"/>
      <c r="H22" s="12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18" t="s">
        <v>131</v>
      </c>
      <c r="B23" s="105" t="s">
        <v>34</v>
      </c>
      <c r="C23" s="106" t="s">
        <v>162</v>
      </c>
      <c r="D23" s="119" t="s">
        <v>133</v>
      </c>
      <c r="E23" s="108"/>
      <c r="F23" s="124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104">
        <v>1</v>
      </c>
      <c r="B24" s="105" t="s">
        <v>166</v>
      </c>
      <c r="C24" s="106">
        <v>167554</v>
      </c>
      <c r="D24" s="107" t="s">
        <v>167</v>
      </c>
      <c r="E24" s="108"/>
      <c r="F24" s="109">
        <f>C24*'CAM-Sep`24'!G23</f>
        <v>989017.79378310556</v>
      </c>
      <c r="G24" s="112"/>
      <c r="H24" s="113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04"/>
      <c r="B25" s="114"/>
      <c r="C25" s="106"/>
      <c r="D25" s="107"/>
      <c r="E25" s="108"/>
      <c r="F25" s="115"/>
      <c r="G25" s="112"/>
      <c r="H25" s="11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/>
      <c r="B26" s="114"/>
      <c r="C26" s="106"/>
      <c r="D26" s="107"/>
      <c r="E26" s="108"/>
      <c r="F26" s="115"/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396" t="s">
        <v>168</v>
      </c>
      <c r="B27" s="374"/>
      <c r="C27" s="374"/>
      <c r="D27" s="397"/>
      <c r="E27" s="116"/>
      <c r="F27" s="117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18" t="s">
        <v>131</v>
      </c>
      <c r="B28" s="105" t="s">
        <v>34</v>
      </c>
      <c r="C28" s="106" t="s">
        <v>162</v>
      </c>
      <c r="D28" s="119" t="s">
        <v>133</v>
      </c>
      <c r="E28" s="108"/>
      <c r="F28" s="320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104">
        <v>1</v>
      </c>
      <c r="B29" s="105" t="s">
        <v>169</v>
      </c>
      <c r="C29" s="106">
        <v>5637</v>
      </c>
      <c r="D29" s="107" t="s">
        <v>163</v>
      </c>
      <c r="E29" s="108"/>
      <c r="F29" s="321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04"/>
      <c r="B30" s="125" t="s">
        <v>170</v>
      </c>
      <c r="C30" s="126">
        <v>2000</v>
      </c>
      <c r="D30" s="127" t="s">
        <v>171</v>
      </c>
      <c r="E30" s="108"/>
      <c r="F30" s="321">
        <f>C30*F2</f>
        <v>17657.007351649656</v>
      </c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/>
      <c r="B31" s="125" t="s">
        <v>172</v>
      </c>
      <c r="C31" s="126">
        <f>587</f>
        <v>587</v>
      </c>
      <c r="D31" s="129" t="s">
        <v>163</v>
      </c>
      <c r="E31" s="108"/>
      <c r="F31" s="321">
        <f>C31*F2</f>
        <v>5182.3316577091746</v>
      </c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173</v>
      </c>
      <c r="C32" s="126">
        <f>3050</f>
        <v>3050</v>
      </c>
      <c r="D32" s="129" t="s">
        <v>174</v>
      </c>
      <c r="E32" s="108"/>
      <c r="F32" s="321">
        <f>C32*F2</f>
        <v>26926.936211265725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31" t="s">
        <v>175</v>
      </c>
      <c r="C33" s="132">
        <f>SUM(C30:C32)</f>
        <v>5637</v>
      </c>
      <c r="D33" s="127"/>
      <c r="E33" s="108"/>
      <c r="F33" s="321"/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>
        <v>2</v>
      </c>
      <c r="B34" s="105" t="s">
        <v>176</v>
      </c>
      <c r="C34" s="106">
        <v>11425</v>
      </c>
      <c r="D34" s="107" t="s">
        <v>177</v>
      </c>
      <c r="E34" s="108"/>
      <c r="F34" s="321">
        <f>C34*F2</f>
        <v>100865.65449629867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>
        <v>3</v>
      </c>
      <c r="B35" s="105" t="s">
        <v>178</v>
      </c>
      <c r="C35" s="106">
        <f>8457</f>
        <v>8457</v>
      </c>
      <c r="D35" s="107" t="s">
        <v>179</v>
      </c>
      <c r="E35" s="108"/>
      <c r="F35" s="321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/>
      <c r="B36" s="133" t="s">
        <v>180</v>
      </c>
      <c r="C36" s="126">
        <v>2156</v>
      </c>
      <c r="D36" s="127" t="s">
        <v>181</v>
      </c>
      <c r="E36" s="108"/>
      <c r="F36" s="321">
        <f>C36*F2</f>
        <v>19034.25392507833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/>
      <c r="B37" s="133" t="s">
        <v>182</v>
      </c>
      <c r="C37" s="126">
        <f>2073</f>
        <v>2073</v>
      </c>
      <c r="D37" s="127" t="s">
        <v>183</v>
      </c>
      <c r="E37" s="108"/>
      <c r="F37" s="321">
        <f>C37*F2</f>
        <v>18301.488119984868</v>
      </c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184</v>
      </c>
      <c r="C38" s="126">
        <f>2927</f>
        <v>2927</v>
      </c>
      <c r="D38" s="127" t="s">
        <v>185</v>
      </c>
      <c r="E38" s="108"/>
      <c r="F38" s="321">
        <f>C38*F2</f>
        <v>25841.030259139272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186</v>
      </c>
      <c r="C39" s="126">
        <f>1301</f>
        <v>1301</v>
      </c>
      <c r="D39" s="127" t="s">
        <v>187</v>
      </c>
      <c r="E39" s="108"/>
      <c r="F39" s="321">
        <f>C39*F2</f>
        <v>11485.883282248102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1" t="s">
        <v>175</v>
      </c>
      <c r="C40" s="132">
        <f>SUM(C36:C39)</f>
        <v>8457</v>
      </c>
      <c r="D40" s="107"/>
      <c r="E40" s="108"/>
      <c r="F40" s="321"/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>
        <v>4</v>
      </c>
      <c r="B41" s="105" t="s">
        <v>188</v>
      </c>
      <c r="C41" s="106">
        <v>8699</v>
      </c>
      <c r="D41" s="107" t="s">
        <v>187</v>
      </c>
      <c r="E41" s="108"/>
      <c r="F41" s="321">
        <f>C41*F2</f>
        <v>76799.153476000181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398" t="s">
        <v>35</v>
      </c>
      <c r="B42" s="375"/>
      <c r="C42" s="106">
        <f>SUM(C29,C34,C35,C41)</f>
        <v>34218</v>
      </c>
      <c r="D42" s="107"/>
      <c r="E42" s="108"/>
      <c r="F42" s="321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/>
      <c r="B43" s="114"/>
      <c r="C43" s="106"/>
      <c r="D43" s="107"/>
      <c r="E43" s="108"/>
      <c r="F43" s="320"/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6" t="s">
        <v>189</v>
      </c>
      <c r="B44" s="374"/>
      <c r="C44" s="374"/>
      <c r="D44" s="397"/>
      <c r="E44" s="116"/>
      <c r="F44" s="117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18" t="s">
        <v>131</v>
      </c>
      <c r="B45" s="105" t="s">
        <v>34</v>
      </c>
      <c r="C45" s="106" t="s">
        <v>162</v>
      </c>
      <c r="D45" s="119" t="s">
        <v>133</v>
      </c>
      <c r="E45" s="108"/>
      <c r="F45" s="115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104">
        <v>1</v>
      </c>
      <c r="B46" s="105" t="s">
        <v>169</v>
      </c>
      <c r="C46" s="106">
        <f>2101</f>
        <v>2101</v>
      </c>
      <c r="D46" s="107" t="s">
        <v>190</v>
      </c>
      <c r="E46" s="108"/>
      <c r="F46" s="109">
        <f>C46*F2</f>
        <v>18548.686222907963</v>
      </c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04">
        <v>2</v>
      </c>
      <c r="B47" s="105" t="s">
        <v>176</v>
      </c>
      <c r="C47" s="106">
        <v>11425</v>
      </c>
      <c r="D47" s="107" t="s">
        <v>190</v>
      </c>
      <c r="E47" s="108"/>
      <c r="F47" s="109">
        <f>C47*F2</f>
        <v>100865.65449629867</v>
      </c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3</v>
      </c>
      <c r="B48" s="105" t="s">
        <v>178</v>
      </c>
      <c r="C48" s="106">
        <f>8457</f>
        <v>8457</v>
      </c>
      <c r="D48" s="107" t="s">
        <v>190</v>
      </c>
      <c r="E48" s="108"/>
      <c r="F48" s="109">
        <f>C48*F2</f>
        <v>74662.655586450579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4</v>
      </c>
      <c r="B49" s="105" t="s">
        <v>188</v>
      </c>
      <c r="C49" s="106">
        <v>8699</v>
      </c>
      <c r="D49" s="107" t="s">
        <v>190</v>
      </c>
      <c r="E49" s="108"/>
      <c r="F49" s="109">
        <f>C49*F2</f>
        <v>76799.153476000181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398" t="s">
        <v>35</v>
      </c>
      <c r="B50" s="375"/>
      <c r="C50" s="106">
        <f>SUM(C46:C49)</f>
        <v>30682</v>
      </c>
      <c r="D50" s="107"/>
      <c r="E50" s="108"/>
      <c r="F50" s="115"/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/>
      <c r="B51" s="114"/>
      <c r="C51" s="106"/>
      <c r="D51" s="107"/>
      <c r="E51" s="108"/>
      <c r="F51" s="115"/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6" t="s">
        <v>191</v>
      </c>
      <c r="B52" s="374"/>
      <c r="C52" s="374"/>
      <c r="D52" s="397"/>
      <c r="E52" s="116"/>
      <c r="F52" s="117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18" t="s">
        <v>131</v>
      </c>
      <c r="B53" s="105" t="s">
        <v>34</v>
      </c>
      <c r="C53" s="106" t="s">
        <v>162</v>
      </c>
      <c r="D53" s="119" t="s">
        <v>133</v>
      </c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104">
        <v>1</v>
      </c>
      <c r="B54" s="105" t="s">
        <v>169</v>
      </c>
      <c r="C54" s="106">
        <v>5637</v>
      </c>
      <c r="D54" s="107" t="s">
        <v>192</v>
      </c>
      <c r="E54" s="108"/>
      <c r="F54" s="109">
        <f>C54*F2</f>
        <v>49766.275220624557</v>
      </c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04">
        <v>2</v>
      </c>
      <c r="B55" s="105" t="s">
        <v>176</v>
      </c>
      <c r="C55" s="106">
        <v>11425</v>
      </c>
      <c r="D55" s="107" t="s">
        <v>192</v>
      </c>
      <c r="E55" s="108"/>
      <c r="F55" s="109">
        <f>C55*F2</f>
        <v>100865.65449629867</v>
      </c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3</v>
      </c>
      <c r="B56" s="105" t="s">
        <v>178</v>
      </c>
      <c r="C56" s="106">
        <f>8457</f>
        <v>8457</v>
      </c>
      <c r="D56" s="107" t="s">
        <v>193</v>
      </c>
      <c r="E56" s="108"/>
      <c r="F56" s="109"/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/>
      <c r="B57" s="125">
        <v>3.1</v>
      </c>
      <c r="C57" s="126">
        <f>3957</f>
        <v>3957</v>
      </c>
      <c r="D57" s="127" t="s">
        <v>194</v>
      </c>
      <c r="E57" s="108"/>
      <c r="F57" s="321">
        <f>C57*F2</f>
        <v>34934.389045238844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/>
      <c r="B58" s="125">
        <v>3.2</v>
      </c>
      <c r="C58" s="126">
        <f t="shared" ref="C58:C60" si="0">1500</f>
        <v>1500</v>
      </c>
      <c r="D58" s="127" t="s">
        <v>195</v>
      </c>
      <c r="E58" s="108"/>
      <c r="F58" s="321">
        <f>C58*F2</f>
        <v>13242.755513737242</v>
      </c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3.3</v>
      </c>
      <c r="C59" s="126">
        <f t="shared" si="0"/>
        <v>1500</v>
      </c>
      <c r="D59" s="127" t="s">
        <v>196</v>
      </c>
      <c r="E59" s="108"/>
      <c r="F59" s="321">
        <f>C59*F2</f>
        <v>13242.755513737242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3.4</v>
      </c>
      <c r="C60" s="126">
        <f t="shared" si="0"/>
        <v>1500</v>
      </c>
      <c r="D60" s="127" t="s">
        <v>197</v>
      </c>
      <c r="E60" s="108"/>
      <c r="F60" s="321">
        <f>C60*F2</f>
        <v>13242.755513737242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31" t="s">
        <v>175</v>
      </c>
      <c r="C61" s="132">
        <f>SUM(C57:C60)</f>
        <v>8457</v>
      </c>
      <c r="D61" s="107"/>
      <c r="E61" s="108"/>
      <c r="F61" s="109"/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>
        <v>4</v>
      </c>
      <c r="B62" s="105" t="s">
        <v>188</v>
      </c>
      <c r="C62" s="106">
        <v>8699</v>
      </c>
      <c r="D62" s="107" t="s">
        <v>198</v>
      </c>
      <c r="E62" s="108"/>
      <c r="F62" s="109">
        <f>C62*F2</f>
        <v>76799.153476000181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398" t="s">
        <v>35</v>
      </c>
      <c r="B63" s="375"/>
      <c r="C63" s="106">
        <f>SUM(C54:C56,C62)</f>
        <v>34218</v>
      </c>
      <c r="D63" s="107"/>
      <c r="E63" s="108"/>
      <c r="F63" s="109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/>
      <c r="B64" s="114"/>
      <c r="C64" s="106"/>
      <c r="D64" s="107"/>
      <c r="E64" s="108"/>
      <c r="F64" s="109"/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6" t="s">
        <v>199</v>
      </c>
      <c r="B65" s="374"/>
      <c r="C65" s="374"/>
      <c r="D65" s="397"/>
      <c r="E65" s="116"/>
      <c r="F65" s="117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18" t="s">
        <v>131</v>
      </c>
      <c r="B66" s="105" t="s">
        <v>34</v>
      </c>
      <c r="C66" s="106" t="s">
        <v>162</v>
      </c>
      <c r="D66" s="119" t="s">
        <v>133</v>
      </c>
      <c r="E66" s="108"/>
      <c r="F66" s="115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104">
        <v>1</v>
      </c>
      <c r="B67" s="105" t="s">
        <v>169</v>
      </c>
      <c r="C67" s="106">
        <v>5637</v>
      </c>
      <c r="D67" s="107" t="s">
        <v>200</v>
      </c>
      <c r="E67" s="108" t="s">
        <v>201</v>
      </c>
      <c r="F67" s="109">
        <f>C67*F2</f>
        <v>49766.275220624557</v>
      </c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04">
        <v>2</v>
      </c>
      <c r="B68" s="105" t="s">
        <v>176</v>
      </c>
      <c r="C68" s="106">
        <v>11425</v>
      </c>
      <c r="D68" s="107" t="s">
        <v>163</v>
      </c>
      <c r="E68" s="108"/>
      <c r="F68" s="109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/>
      <c r="B69" s="125">
        <v>2.1</v>
      </c>
      <c r="C69" s="126">
        <v>3000</v>
      </c>
      <c r="D69" s="129" t="s">
        <v>202</v>
      </c>
      <c r="E69" s="108"/>
      <c r="F69" s="109">
        <f>C69*F2</f>
        <v>26485.511027474484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/>
      <c r="B70" s="125">
        <v>2.2000000000000002</v>
      </c>
      <c r="C70" s="126">
        <v>1000</v>
      </c>
      <c r="D70" s="129" t="s">
        <v>203</v>
      </c>
      <c r="E70" s="108"/>
      <c r="F70" s="109">
        <f>C70*F2</f>
        <v>8828.503675824828</v>
      </c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2.2999999999999998</v>
      </c>
      <c r="C71" s="126">
        <f>3925-1000+500</f>
        <v>3425</v>
      </c>
      <c r="D71" s="129" t="s">
        <v>204</v>
      </c>
      <c r="E71" s="108"/>
      <c r="F71" s="109">
        <f>C71*F2</f>
        <v>30237.625089700039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2.4</v>
      </c>
      <c r="C72" s="126">
        <v>1000</v>
      </c>
      <c r="D72" s="129" t="s">
        <v>205</v>
      </c>
      <c r="E72" s="108"/>
      <c r="F72" s="109">
        <f>C72*F2</f>
        <v>8828.503675824828</v>
      </c>
      <c r="G72" s="135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2.5</v>
      </c>
      <c r="C73" s="126">
        <v>2000</v>
      </c>
      <c r="D73" s="129" t="s">
        <v>206</v>
      </c>
      <c r="E73" s="108"/>
      <c r="F73" s="109">
        <f>C73*F2</f>
        <v>17657.007351649656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2.6</v>
      </c>
      <c r="C74" s="126">
        <v>1000</v>
      </c>
      <c r="D74" s="129" t="s">
        <v>207</v>
      </c>
      <c r="E74" s="108"/>
      <c r="F74" s="109">
        <f>C74*F2</f>
        <v>8828.503675824828</v>
      </c>
      <c r="G74" s="112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31" t="s">
        <v>175</v>
      </c>
      <c r="C75" s="132">
        <f>SUM(C69:C74)</f>
        <v>11425</v>
      </c>
      <c r="D75" s="127"/>
      <c r="E75" s="108"/>
      <c r="F75" s="115"/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>
        <v>3</v>
      </c>
      <c r="B76" s="105" t="s">
        <v>178</v>
      </c>
      <c r="C76" s="106">
        <f>8457</f>
        <v>8457</v>
      </c>
      <c r="D76" s="107" t="s">
        <v>208</v>
      </c>
      <c r="E76" s="108"/>
      <c r="F76" s="109"/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25">
        <v>3.1</v>
      </c>
      <c r="C77" s="106">
        <v>2300</v>
      </c>
      <c r="D77" s="107" t="s">
        <v>209</v>
      </c>
      <c r="E77" s="108"/>
      <c r="F77" s="109">
        <f>C77*F2</f>
        <v>20305.558454397105</v>
      </c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/>
      <c r="B78" s="125">
        <v>3.2</v>
      </c>
      <c r="C78" s="106">
        <v>1000</v>
      </c>
      <c r="D78" s="107" t="s">
        <v>210</v>
      </c>
      <c r="E78" s="108"/>
      <c r="F78" s="109">
        <f>C78*F2</f>
        <v>8828.503675824828</v>
      </c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3.3</v>
      </c>
      <c r="C79" s="106">
        <v>1153</v>
      </c>
      <c r="D79" s="107" t="s">
        <v>211</v>
      </c>
      <c r="E79" s="108"/>
      <c r="F79" s="109">
        <f>C79*F2</f>
        <v>10179.264738226027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3.4</v>
      </c>
      <c r="C80" s="106">
        <v>1152</v>
      </c>
      <c r="D80" s="107" t="s">
        <v>212</v>
      </c>
      <c r="E80" s="108"/>
      <c r="F80" s="109">
        <f>C80*F2</f>
        <v>10170.436234550203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3.5</v>
      </c>
      <c r="C81" s="106">
        <v>1152</v>
      </c>
      <c r="D81" s="107" t="s">
        <v>213</v>
      </c>
      <c r="E81" s="108"/>
      <c r="F81" s="109">
        <f>C81*F2</f>
        <v>10170.436234550203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3.6</v>
      </c>
      <c r="C82" s="106">
        <v>850</v>
      </c>
      <c r="D82" s="107" t="s">
        <v>214</v>
      </c>
      <c r="E82" s="108"/>
      <c r="F82" s="109">
        <f>C82*F2</f>
        <v>7504.2281244511041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3.7</v>
      </c>
      <c r="C83" s="106">
        <v>850</v>
      </c>
      <c r="D83" s="107" t="s">
        <v>215</v>
      </c>
      <c r="E83" s="108"/>
      <c r="F83" s="109">
        <f>C83*F2</f>
        <v>7504.2281244511041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31" t="s">
        <v>175</v>
      </c>
      <c r="C84" s="136">
        <f>SUM(C77:C83)</f>
        <v>8457</v>
      </c>
      <c r="D84" s="107"/>
      <c r="E84" s="108"/>
      <c r="F84" s="109"/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>
        <v>4</v>
      </c>
      <c r="B85" s="105" t="s">
        <v>188</v>
      </c>
      <c r="C85" s="106">
        <v>8699</v>
      </c>
      <c r="D85" s="107" t="s">
        <v>216</v>
      </c>
      <c r="E85" s="108"/>
      <c r="F85" s="109">
        <f>C85*F2</f>
        <v>76799.153476000181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398" t="s">
        <v>35</v>
      </c>
      <c r="B86" s="375"/>
      <c r="C86" s="106">
        <f>SUM(C67,C75,C76,C85)</f>
        <v>34218</v>
      </c>
      <c r="D86" s="107"/>
      <c r="E86" s="108"/>
      <c r="F86" s="115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/>
      <c r="B87" s="114"/>
      <c r="C87" s="106"/>
      <c r="D87" s="107"/>
      <c r="E87" s="108"/>
      <c r="F87" s="115"/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6" t="s">
        <v>217</v>
      </c>
      <c r="B88" s="374"/>
      <c r="C88" s="374"/>
      <c r="D88" s="397"/>
      <c r="E88" s="116"/>
      <c r="F88" s="117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18" t="s">
        <v>131</v>
      </c>
      <c r="B89" s="105" t="s">
        <v>34</v>
      </c>
      <c r="C89" s="106" t="s">
        <v>162</v>
      </c>
      <c r="D89" s="119" t="s">
        <v>133</v>
      </c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137">
        <v>1</v>
      </c>
      <c r="B90" s="138" t="s">
        <v>169</v>
      </c>
      <c r="C90" s="139">
        <v>5637</v>
      </c>
      <c r="D90" s="140" t="s">
        <v>163</v>
      </c>
      <c r="E90" s="108"/>
      <c r="F90" s="109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37"/>
      <c r="B91" s="141" t="s">
        <v>218</v>
      </c>
      <c r="C91" s="142">
        <f>2587</f>
        <v>2587</v>
      </c>
      <c r="D91" s="129" t="s">
        <v>219</v>
      </c>
      <c r="E91" s="108"/>
      <c r="F91" s="109">
        <f>C91*F2</f>
        <v>22839.339009358831</v>
      </c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/>
      <c r="B92" s="141" t="s">
        <v>173</v>
      </c>
      <c r="C92" s="142">
        <v>3050</v>
      </c>
      <c r="D92" s="129" t="s">
        <v>220</v>
      </c>
      <c r="E92" s="108"/>
      <c r="F92" s="109">
        <f>C92*F2</f>
        <v>26926.936211265725</v>
      </c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31" t="s">
        <v>175</v>
      </c>
      <c r="C93" s="132">
        <f>SUM(C91:C92)</f>
        <v>5637</v>
      </c>
      <c r="D93" s="140"/>
      <c r="E93" s="108"/>
      <c r="F93" s="115"/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>
        <v>2</v>
      </c>
      <c r="B94" s="138" t="s">
        <v>176</v>
      </c>
      <c r="C94" s="139">
        <v>11425</v>
      </c>
      <c r="D94" s="140" t="s">
        <v>221</v>
      </c>
      <c r="E94" s="108"/>
      <c r="F94" s="109"/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43">
        <v>2.1</v>
      </c>
      <c r="C95" s="142">
        <v>3028</v>
      </c>
      <c r="D95" s="144" t="s">
        <v>222</v>
      </c>
      <c r="E95" s="108"/>
      <c r="F95" s="109">
        <f>C95*F2</f>
        <v>26732.709130397579</v>
      </c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/>
      <c r="B96" s="143">
        <v>2.2000000000000002</v>
      </c>
      <c r="C96" s="142">
        <f>4004-1320</f>
        <v>2684</v>
      </c>
      <c r="D96" s="144" t="s">
        <v>223</v>
      </c>
      <c r="E96" s="108"/>
      <c r="F96" s="109">
        <f>C96*F2</f>
        <v>23695.703865913842</v>
      </c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2.2999999999999998</v>
      </c>
      <c r="C97" s="142">
        <v>3028</v>
      </c>
      <c r="D97" s="144" t="s">
        <v>224</v>
      </c>
      <c r="E97" s="108"/>
      <c r="F97" s="109">
        <f>C97*F2</f>
        <v>26732.709130397579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2.4</v>
      </c>
      <c r="C98" s="142">
        <f>1365+1320</f>
        <v>2685</v>
      </c>
      <c r="D98" s="144" t="s">
        <v>225</v>
      </c>
      <c r="E98" s="108"/>
      <c r="F98" s="109">
        <f>C98*F2</f>
        <v>23704.532369589666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31" t="s">
        <v>175</v>
      </c>
      <c r="C99" s="132">
        <f>SUM(C95:C98)</f>
        <v>11425</v>
      </c>
      <c r="D99" s="144"/>
      <c r="E99" s="108"/>
      <c r="F99" s="115"/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>
        <v>3</v>
      </c>
      <c r="B100" s="138" t="s">
        <v>178</v>
      </c>
      <c r="C100" s="139">
        <v>8457</v>
      </c>
      <c r="D100" s="140" t="s">
        <v>226</v>
      </c>
      <c r="E100" s="108"/>
      <c r="F100" s="109">
        <f>C100*F2</f>
        <v>74662.655586450579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>
        <v>4</v>
      </c>
      <c r="B101" s="145" t="s">
        <v>188</v>
      </c>
      <c r="C101" s="139">
        <v>8699</v>
      </c>
      <c r="D101" s="140" t="s">
        <v>227</v>
      </c>
      <c r="E101" s="108"/>
      <c r="F101" s="109">
        <f>C101*F2</f>
        <v>76799.153476000181</v>
      </c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399" t="s">
        <v>35</v>
      </c>
      <c r="B102" s="375"/>
      <c r="C102" s="139">
        <f>SUM(C90+C99+C100+C101)</f>
        <v>34218</v>
      </c>
      <c r="D102" s="140"/>
      <c r="E102" s="108"/>
      <c r="F102" s="115"/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04"/>
      <c r="B103" s="114"/>
      <c r="C103" s="106"/>
      <c r="D103" s="107"/>
      <c r="E103" s="108"/>
      <c r="F103" s="115"/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6" t="s">
        <v>228</v>
      </c>
      <c r="B104" s="374"/>
      <c r="C104" s="374"/>
      <c r="D104" s="397"/>
      <c r="E104" s="116"/>
      <c r="F104" s="117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18" t="s">
        <v>131</v>
      </c>
      <c r="B105" s="105" t="s">
        <v>34</v>
      </c>
      <c r="C105" s="106" t="s">
        <v>162</v>
      </c>
      <c r="D105" s="119" t="s">
        <v>133</v>
      </c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104">
        <v>1</v>
      </c>
      <c r="B106" s="105" t="s">
        <v>169</v>
      </c>
      <c r="C106" s="106">
        <f>2101</f>
        <v>2101</v>
      </c>
      <c r="D106" s="107" t="s">
        <v>229</v>
      </c>
      <c r="E106" s="108"/>
      <c r="F106" s="109">
        <f>C106*F2</f>
        <v>18548.686222907963</v>
      </c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04">
        <v>2</v>
      </c>
      <c r="B107" s="105" t="s">
        <v>176</v>
      </c>
      <c r="C107" s="106">
        <v>11425</v>
      </c>
      <c r="D107" s="107" t="s">
        <v>230</v>
      </c>
      <c r="E107" s="108"/>
      <c r="F107" s="109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46"/>
      <c r="B108" s="125">
        <v>2.1</v>
      </c>
      <c r="C108" s="126">
        <f>11166</f>
        <v>11166</v>
      </c>
      <c r="D108" s="127" t="s">
        <v>231</v>
      </c>
      <c r="E108" s="108"/>
      <c r="F108" s="109">
        <f>C108*F2</f>
        <v>98579.072044260029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46"/>
      <c r="B109" s="125">
        <v>2.2000000000000002</v>
      </c>
      <c r="C109" s="126">
        <f>259</f>
        <v>259</v>
      </c>
      <c r="D109" s="127" t="s">
        <v>232</v>
      </c>
      <c r="E109" s="108"/>
      <c r="F109" s="109">
        <f>C109*F2</f>
        <v>2286.5824520386304</v>
      </c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31" t="s">
        <v>233</v>
      </c>
      <c r="C110" s="132">
        <f>SUM(C108:C109)</f>
        <v>11425</v>
      </c>
      <c r="D110" s="127"/>
      <c r="E110" s="108"/>
      <c r="F110" s="115"/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04">
        <v>3</v>
      </c>
      <c r="B111" s="105" t="s">
        <v>178</v>
      </c>
      <c r="C111" s="106">
        <f>8457</f>
        <v>8457</v>
      </c>
      <c r="D111" s="107" t="s">
        <v>234</v>
      </c>
      <c r="E111" s="108"/>
      <c r="F111" s="109"/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25">
        <v>3.1</v>
      </c>
      <c r="C112" s="126">
        <f>7640</f>
        <v>7640</v>
      </c>
      <c r="D112" s="127" t="s">
        <v>232</v>
      </c>
      <c r="E112" s="108"/>
      <c r="F112" s="109">
        <f>C112*F2</f>
        <v>67449.768083301693</v>
      </c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46"/>
      <c r="B113" s="125">
        <v>3.2</v>
      </c>
      <c r="C113" s="126">
        <f>817</f>
        <v>817</v>
      </c>
      <c r="D113" s="127" t="s">
        <v>235</v>
      </c>
      <c r="E113" s="108"/>
      <c r="F113" s="109">
        <f>C113*F2</f>
        <v>7212.8875031488851</v>
      </c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31" t="s">
        <v>233</v>
      </c>
      <c r="C114" s="132">
        <f>SUM(C112:C113)</f>
        <v>8457</v>
      </c>
      <c r="D114" s="127"/>
      <c r="E114" s="108"/>
      <c r="F114" s="115"/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04">
        <v>4</v>
      </c>
      <c r="B115" s="105" t="s">
        <v>188</v>
      </c>
      <c r="C115" s="106">
        <v>8699</v>
      </c>
      <c r="D115" s="107" t="s">
        <v>235</v>
      </c>
      <c r="E115" s="108"/>
      <c r="F115" s="109">
        <f>C115*F2</f>
        <v>76799.153476000181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398" t="s">
        <v>35</v>
      </c>
      <c r="B116" s="375"/>
      <c r="C116" s="106">
        <f>SUM(C106,C110,C114:C115)</f>
        <v>30682</v>
      </c>
      <c r="D116" s="14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/>
      <c r="B117" s="114"/>
      <c r="C117" s="106"/>
      <c r="D117" s="147"/>
      <c r="E117" s="108"/>
      <c r="F117" s="115"/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6" t="s">
        <v>236</v>
      </c>
      <c r="B118" s="374"/>
      <c r="C118" s="374"/>
      <c r="D118" s="397"/>
      <c r="E118" s="116"/>
      <c r="F118" s="117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18" t="s">
        <v>131</v>
      </c>
      <c r="B119" s="105" t="s">
        <v>34</v>
      </c>
      <c r="C119" s="106" t="s">
        <v>162</v>
      </c>
      <c r="D119" s="119" t="s">
        <v>133</v>
      </c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104">
        <v>1</v>
      </c>
      <c r="B120" s="105" t="s">
        <v>169</v>
      </c>
      <c r="C120" s="106">
        <v>5637</v>
      </c>
      <c r="D120" s="107" t="s">
        <v>234</v>
      </c>
      <c r="E120" s="108"/>
      <c r="F120" s="109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04"/>
      <c r="B121" s="133" t="s">
        <v>170</v>
      </c>
      <c r="C121" s="126">
        <f>1600</f>
        <v>1600</v>
      </c>
      <c r="D121" s="127" t="s">
        <v>237</v>
      </c>
      <c r="E121" s="108"/>
      <c r="F121" s="109">
        <f>C121*F2</f>
        <v>14125.605881319725</v>
      </c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/>
      <c r="B122" s="133" t="s">
        <v>238</v>
      </c>
      <c r="C122" s="126">
        <v>987</v>
      </c>
      <c r="D122" s="127" t="s">
        <v>239</v>
      </c>
      <c r="E122" s="108"/>
      <c r="F122" s="109">
        <f>C122*F2</f>
        <v>8713.7331280391063</v>
      </c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173</v>
      </c>
      <c r="C123" s="126">
        <v>3050</v>
      </c>
      <c r="D123" s="127" t="s">
        <v>240</v>
      </c>
      <c r="E123" s="108"/>
      <c r="F123" s="109">
        <f>C123*F2</f>
        <v>26926.936211265725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1" t="s">
        <v>175</v>
      </c>
      <c r="C124" s="132">
        <f>SUM(C121:C123)</f>
        <v>5637</v>
      </c>
      <c r="D124" s="127"/>
      <c r="E124" s="108"/>
      <c r="F124" s="115"/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>
        <v>2</v>
      </c>
      <c r="B125" s="105" t="s">
        <v>176</v>
      </c>
      <c r="C125" s="106">
        <v>11425</v>
      </c>
      <c r="D125" s="107" t="s">
        <v>241</v>
      </c>
      <c r="E125" s="108"/>
      <c r="F125" s="109"/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3">
        <v>2.1</v>
      </c>
      <c r="C126" s="106">
        <v>5712</v>
      </c>
      <c r="D126" s="107" t="s">
        <v>242</v>
      </c>
      <c r="E126" s="108"/>
      <c r="F126" s="109">
        <f>C126*F2</f>
        <v>50428.412996311417</v>
      </c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/>
      <c r="B127" s="133">
        <v>2.2000000000000002</v>
      </c>
      <c r="C127" s="106">
        <v>5713</v>
      </c>
      <c r="D127" s="107" t="s">
        <v>243</v>
      </c>
      <c r="E127" s="108"/>
      <c r="F127" s="109">
        <f>C127*F2</f>
        <v>50437.241499987249</v>
      </c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1" t="s">
        <v>175</v>
      </c>
      <c r="C128" s="136">
        <f>SUM(C126:C127)</f>
        <v>11425</v>
      </c>
      <c r="D128" s="107"/>
      <c r="E128" s="108"/>
      <c r="F128" s="109"/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>
        <v>3</v>
      </c>
      <c r="B129" s="105" t="s">
        <v>178</v>
      </c>
      <c r="C129" s="106">
        <f>8457</f>
        <v>8457</v>
      </c>
      <c r="D129" s="107" t="s">
        <v>244</v>
      </c>
      <c r="E129" s="108"/>
      <c r="F129" s="109"/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25">
        <v>3.1</v>
      </c>
      <c r="C130" s="126">
        <f>4957</f>
        <v>4957</v>
      </c>
      <c r="D130" s="107" t="s">
        <v>245</v>
      </c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/>
      <c r="B131" s="125" t="s">
        <v>246</v>
      </c>
      <c r="C131" s="126">
        <v>1239</v>
      </c>
      <c r="D131" s="107" t="s">
        <v>247</v>
      </c>
      <c r="E131" s="108"/>
      <c r="F131" s="109">
        <f>C131*F2</f>
        <v>10938.516054346963</v>
      </c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 t="s">
        <v>248</v>
      </c>
      <c r="C132" s="126">
        <v>1240</v>
      </c>
      <c r="D132" s="107" t="s">
        <v>249</v>
      </c>
      <c r="E132" s="108"/>
      <c r="F132" s="109">
        <f>C132*F2</f>
        <v>10947.344558022787</v>
      </c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250</v>
      </c>
      <c r="C133" s="126">
        <v>1239</v>
      </c>
      <c r="D133" s="107" t="s">
        <v>251</v>
      </c>
      <c r="E133" s="108"/>
      <c r="F133" s="109">
        <f>C133*F2</f>
        <v>10938.516054346963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252</v>
      </c>
      <c r="C134" s="126">
        <v>1239</v>
      </c>
      <c r="D134" s="107" t="s">
        <v>253</v>
      </c>
      <c r="E134" s="108"/>
      <c r="F134" s="109">
        <f>C134*F2</f>
        <v>10938.516054346963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31" t="s">
        <v>175</v>
      </c>
      <c r="C135" s="132">
        <f>SUM(C131:C134)</f>
        <v>4957</v>
      </c>
      <c r="D135" s="107"/>
      <c r="E135" s="108"/>
      <c r="F135" s="109"/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>
        <v>3.2</v>
      </c>
      <c r="C136" s="126">
        <f>3500</f>
        <v>3500</v>
      </c>
      <c r="D136" s="107" t="s">
        <v>254</v>
      </c>
      <c r="E136" s="108"/>
      <c r="F136" s="109"/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25" t="s">
        <v>255</v>
      </c>
      <c r="C137" s="126">
        <v>800</v>
      </c>
      <c r="D137" s="107" t="s">
        <v>256</v>
      </c>
      <c r="E137" s="108"/>
      <c r="F137" s="109">
        <f>C137*F2</f>
        <v>7062.8029406598625</v>
      </c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 t="s">
        <v>257</v>
      </c>
      <c r="C138" s="126">
        <v>800</v>
      </c>
      <c r="D138" s="107" t="s">
        <v>258</v>
      </c>
      <c r="E138" s="108"/>
      <c r="F138" s="109">
        <f>C138*F2</f>
        <v>7062.8029406598625</v>
      </c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259</v>
      </c>
      <c r="C139" s="126">
        <v>1100</v>
      </c>
      <c r="D139" s="107" t="s">
        <v>260</v>
      </c>
      <c r="E139" s="108"/>
      <c r="F139" s="109">
        <f>C139*F2</f>
        <v>9711.3540434073111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261</v>
      </c>
      <c r="C140" s="126">
        <v>800</v>
      </c>
      <c r="D140" s="107" t="s">
        <v>262</v>
      </c>
      <c r="E140" s="108"/>
      <c r="F140" s="109">
        <f>C140*F2</f>
        <v>7062.8029406598625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31" t="s">
        <v>175</v>
      </c>
      <c r="C141" s="132">
        <f>SUM(C137:C140)</f>
        <v>3500</v>
      </c>
      <c r="D141" s="107"/>
      <c r="E141" s="108"/>
      <c r="F141" s="115"/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>
        <v>4</v>
      </c>
      <c r="B142" s="105" t="s">
        <v>188</v>
      </c>
      <c r="C142" s="106">
        <v>8699</v>
      </c>
      <c r="D142" s="107" t="s">
        <v>142</v>
      </c>
      <c r="E142" s="108"/>
      <c r="F142" s="109"/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25">
        <v>4.0999999999999996</v>
      </c>
      <c r="C143" s="126">
        <f>4623</f>
        <v>4623</v>
      </c>
      <c r="D143" s="127" t="s">
        <v>263</v>
      </c>
      <c r="E143" s="108"/>
      <c r="F143" s="109">
        <f>C143*F2</f>
        <v>40814.172493338185</v>
      </c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/>
      <c r="B144" s="125">
        <v>4.2</v>
      </c>
      <c r="C144" s="126">
        <f>3906-2009</f>
        <v>1897</v>
      </c>
      <c r="D144" s="127" t="s">
        <v>264</v>
      </c>
      <c r="E144" s="108"/>
      <c r="F144" s="109">
        <f>C144*F2</f>
        <v>16747.6714730397</v>
      </c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4.3</v>
      </c>
      <c r="C145" s="126">
        <f>2179</f>
        <v>2179</v>
      </c>
      <c r="D145" s="127" t="s">
        <v>265</v>
      </c>
      <c r="E145" s="108"/>
      <c r="F145" s="109">
        <f>C145*F2</f>
        <v>19237.309509622301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31" t="s">
        <v>175</v>
      </c>
      <c r="C146" s="132">
        <f>SUM(C143:C145)</f>
        <v>8699</v>
      </c>
      <c r="D146" s="107"/>
      <c r="E146" s="108"/>
      <c r="F146" s="109"/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398" t="s">
        <v>35</v>
      </c>
      <c r="B147" s="375"/>
      <c r="C147" s="106">
        <f>SUM(C124,C128,C135,C141,C146)</f>
        <v>34218</v>
      </c>
      <c r="D147" s="107"/>
      <c r="E147" s="108"/>
      <c r="F147" s="115"/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/>
      <c r="C148" s="132"/>
      <c r="D148" s="127"/>
      <c r="E148" s="108"/>
      <c r="F148" s="115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6" t="s">
        <v>266</v>
      </c>
      <c r="B149" s="374"/>
      <c r="C149" s="374"/>
      <c r="D149" s="397"/>
      <c r="E149" s="116"/>
      <c r="F149" s="117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18" t="s">
        <v>131</v>
      </c>
      <c r="B150" s="105" t="s">
        <v>34</v>
      </c>
      <c r="C150" s="106" t="s">
        <v>162</v>
      </c>
      <c r="D150" s="119" t="s">
        <v>133</v>
      </c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137">
        <v>1</v>
      </c>
      <c r="B151" s="138" t="s">
        <v>169</v>
      </c>
      <c r="C151" s="139">
        <f>5637</f>
        <v>5637</v>
      </c>
      <c r="D151" s="140" t="s">
        <v>265</v>
      </c>
      <c r="E151" s="108"/>
      <c r="F151" s="109">
        <f>C151*F2</f>
        <v>49766.275220624557</v>
      </c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37">
        <v>2</v>
      </c>
      <c r="B152" s="138" t="s">
        <v>176</v>
      </c>
      <c r="C152" s="139">
        <v>11425</v>
      </c>
      <c r="D152" s="140" t="s">
        <v>267</v>
      </c>
      <c r="E152" s="108"/>
      <c r="F152" s="109">
        <f>C152*F2</f>
        <v>100865.65449629867</v>
      </c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3</v>
      </c>
      <c r="B153" s="138" t="s">
        <v>178</v>
      </c>
      <c r="C153" s="139">
        <v>8457</v>
      </c>
      <c r="D153" s="140" t="s">
        <v>268</v>
      </c>
      <c r="E153" s="108"/>
      <c r="F153" s="109"/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48"/>
      <c r="B154" s="143">
        <v>3.1</v>
      </c>
      <c r="C154" s="142">
        <f>2951-1014</f>
        <v>1937</v>
      </c>
      <c r="D154" s="144" t="s">
        <v>263</v>
      </c>
      <c r="E154" s="108"/>
      <c r="F154" s="109">
        <f>C154*F2</f>
        <v>17100.811620072694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48"/>
      <c r="B155" s="143">
        <v>3.3</v>
      </c>
      <c r="C155" s="142">
        <f>4789+717+1014</f>
        <v>6520</v>
      </c>
      <c r="D155" s="144" t="s">
        <v>265</v>
      </c>
      <c r="E155" s="108"/>
      <c r="F155" s="109">
        <f>C155*F2</f>
        <v>57561.843966377884</v>
      </c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31" t="s">
        <v>175</v>
      </c>
      <c r="C156" s="132">
        <f>SUM(C154:C155)</f>
        <v>8457</v>
      </c>
      <c r="D156" s="144"/>
      <c r="E156" s="108"/>
      <c r="F156" s="115"/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37">
        <v>4</v>
      </c>
      <c r="B157" s="138" t="s">
        <v>188</v>
      </c>
      <c r="C157" s="139">
        <v>8699</v>
      </c>
      <c r="D157" s="140" t="s">
        <v>269</v>
      </c>
      <c r="E157" s="108"/>
      <c r="F157" s="109">
        <f>C157*F2</f>
        <v>76799.153476000181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407" t="s">
        <v>35</v>
      </c>
      <c r="B158" s="395"/>
      <c r="C158" s="149">
        <v>34218</v>
      </c>
      <c r="D158" s="150"/>
      <c r="E158" s="151"/>
      <c r="F158" s="152"/>
      <c r="G158" s="153"/>
      <c r="H158" s="15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5">
      <c r="A159" s="408"/>
      <c r="B159" s="409" t="s">
        <v>270</v>
      </c>
      <c r="C159" s="400">
        <f>C158+C147+C116+C102+C86+C63+C50+C42+C24+C20+C13</f>
        <v>490749</v>
      </c>
      <c r="D159" s="402"/>
      <c r="E159" s="404" t="s">
        <v>271</v>
      </c>
      <c r="F159" s="405">
        <f>SUM(F5:F158)</f>
        <v>3842346.0392913115</v>
      </c>
      <c r="G159" s="391"/>
      <c r="H159" s="39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25">
      <c r="A160" s="406"/>
      <c r="B160" s="406"/>
      <c r="C160" s="401"/>
      <c r="D160" s="403"/>
      <c r="E160" s="403"/>
      <c r="F160" s="406"/>
      <c r="G160" s="388"/>
      <c r="H160" s="390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95"/>
      <c r="B161" s="95"/>
      <c r="C161" s="95"/>
      <c r="D161" s="156"/>
      <c r="E161" s="95"/>
      <c r="F161" s="157"/>
      <c r="G161" s="158"/>
      <c r="H161" s="158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3">
      <c r="A162" s="95"/>
      <c r="B162" s="95"/>
      <c r="C162" s="95"/>
      <c r="D162" s="156"/>
      <c r="E162" s="95"/>
      <c r="F162" s="157"/>
      <c r="G162" s="158"/>
      <c r="H162" s="158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3">
      <c r="A163" s="95"/>
      <c r="B163" s="95"/>
      <c r="C163" s="159"/>
      <c r="D163" s="156"/>
      <c r="E163" s="95"/>
      <c r="F163" s="160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95"/>
      <c r="D165" s="156"/>
      <c r="E165" s="95"/>
      <c r="F165" s="157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5"/>
    <row r="361" spans="1:26" ht="15.75" customHeight="1" x14ac:dyDescent="0.25"/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59:G160"/>
    <mergeCell ref="H159:H160"/>
    <mergeCell ref="A116:B116"/>
    <mergeCell ref="A118:D118"/>
    <mergeCell ref="A147:B147"/>
    <mergeCell ref="A149:D149"/>
    <mergeCell ref="A158:B158"/>
    <mergeCell ref="A159:A160"/>
    <mergeCell ref="B159:B160"/>
    <mergeCell ref="A104:D104"/>
    <mergeCell ref="C159:C160"/>
    <mergeCell ref="D159:D160"/>
    <mergeCell ref="E159:E160"/>
    <mergeCell ref="F159:F160"/>
    <mergeCell ref="A63:B63"/>
    <mergeCell ref="A65:D65"/>
    <mergeCell ref="A86:B86"/>
    <mergeCell ref="A88:D88"/>
    <mergeCell ref="A102:B102"/>
    <mergeCell ref="A27:D27"/>
    <mergeCell ref="A42:B42"/>
    <mergeCell ref="A44:D44"/>
    <mergeCell ref="A52:D52"/>
    <mergeCell ref="A50:B50"/>
    <mergeCell ref="H2:H3"/>
    <mergeCell ref="A3:D3"/>
    <mergeCell ref="A14:D14"/>
    <mergeCell ref="A20:B20"/>
    <mergeCell ref="A22:D22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7.42578125" customWidth="1"/>
    <col min="4" max="4" width="16" customWidth="1"/>
    <col min="5" max="5" width="14.85546875" customWidth="1"/>
    <col min="6" max="6" width="7.7109375" customWidth="1"/>
    <col min="7" max="7" width="17.42578125" customWidth="1"/>
    <col min="8" max="8" width="17.7109375" customWidth="1"/>
    <col min="9" max="9" width="18.7109375" customWidth="1"/>
    <col min="10" max="10" width="9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460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7.1592745112765384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461</v>
      </c>
      <c r="C6" s="184">
        <f>276200+77500+50000</f>
        <v>403700</v>
      </c>
      <c r="D6" s="185">
        <f>C6/D3</f>
        <v>0.82262011741236352</v>
      </c>
      <c r="E6" s="186"/>
      <c r="F6" s="187"/>
      <c r="G6" s="188">
        <f>G4*D6</f>
        <v>137833.29115291114</v>
      </c>
      <c r="H6" s="189">
        <f>H4*D6</f>
        <v>265866.70884708886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462</v>
      </c>
      <c r="C7" s="184">
        <v>451719.26</v>
      </c>
      <c r="D7" s="185">
        <f>C7/D3</f>
        <v>0.92046903814373537</v>
      </c>
      <c r="E7" s="191">
        <f>C7*(D29)</f>
        <v>146440.87979839623</v>
      </c>
      <c r="F7" s="192">
        <f>E7/D3</f>
        <v>0.29840280835701394</v>
      </c>
      <c r="G7" s="188">
        <f>F7*G4</f>
        <v>49998.584151451112</v>
      </c>
      <c r="H7" s="189">
        <f t="shared" ref="H7:H8" si="0">C7-G7</f>
        <v>401720.67584854888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463</v>
      </c>
      <c r="C8" s="184">
        <v>414000</v>
      </c>
      <c r="D8" s="185">
        <f>C8/D3</f>
        <v>0.84360844342015984</v>
      </c>
      <c r="E8" s="191">
        <f>C8*D28</f>
        <v>283125.39907327306</v>
      </c>
      <c r="F8" s="192">
        <f>E8/D3</f>
        <v>0.57692506571235613</v>
      </c>
      <c r="G8" s="193">
        <f>F8*G4</f>
        <v>96666.102460368114</v>
      </c>
      <c r="H8" s="189">
        <f t="shared" si="0"/>
        <v>317333.89753963187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464</v>
      </c>
      <c r="C9" s="184">
        <v>712510.19</v>
      </c>
      <c r="D9" s="185">
        <f>C9/D3</f>
        <v>1.4518831215142567</v>
      </c>
      <c r="E9" s="186"/>
      <c r="F9" s="187"/>
      <c r="G9" s="188">
        <f>G4*D9</f>
        <v>243268.82454219976</v>
      </c>
      <c r="H9" s="189">
        <f>H4*D9</f>
        <v>469241.36545780022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465</v>
      </c>
      <c r="C10" s="184">
        <f>C45-(C11)</f>
        <v>136000</v>
      </c>
      <c r="D10" s="185">
        <f>C10/D3</f>
        <v>0.27712741136507663</v>
      </c>
      <c r="E10" s="186"/>
      <c r="F10" s="187"/>
      <c r="G10" s="188">
        <f>D10*G4</f>
        <v>46433.806283864047</v>
      </c>
      <c r="H10" s="189">
        <f t="shared" ref="H10:H15" si="1">C10-G10</f>
        <v>89566.193716135953</v>
      </c>
      <c r="I10" s="68"/>
      <c r="J10" s="68"/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43</v>
      </c>
      <c r="C11" s="184">
        <f>C40+C44</f>
        <v>9917.52</v>
      </c>
      <c r="D11" s="185">
        <f>C11/D3</f>
        <v>2.0208945917363053E-2</v>
      </c>
      <c r="E11" s="186"/>
      <c r="F11" s="187"/>
      <c r="G11" s="188">
        <v>0</v>
      </c>
      <c r="H11" s="189">
        <f t="shared" si="1"/>
        <v>9917.52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466</v>
      </c>
      <c r="C12" s="184">
        <f>40138</f>
        <v>40138</v>
      </c>
      <c r="D12" s="185">
        <f>C12/D3</f>
        <v>8.1789264980672405E-2</v>
      </c>
      <c r="E12" s="191">
        <f>C12*D28</f>
        <v>27449.486154596703</v>
      </c>
      <c r="F12" s="192">
        <f>E12/D3</f>
        <v>5.5933860597977184E-2</v>
      </c>
      <c r="G12" s="188">
        <f>F12*G4</f>
        <v>9371.9420786334686</v>
      </c>
      <c r="H12" s="189">
        <f t="shared" si="1"/>
        <v>30766.057921366533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84">
        <v>17600</v>
      </c>
      <c r="D13" s="185">
        <f>C13/D3</f>
        <v>3.5863547353127564E-2</v>
      </c>
      <c r="E13" s="191"/>
      <c r="F13" s="192"/>
      <c r="G13" s="188">
        <v>0</v>
      </c>
      <c r="H13" s="189">
        <f t="shared" si="1"/>
        <v>17600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467</v>
      </c>
      <c r="C14" s="195">
        <v>689066.2273949259</v>
      </c>
      <c r="D14" s="196">
        <f>C14/D3</f>
        <v>1.4041113224783461</v>
      </c>
      <c r="E14" s="191">
        <f>C14*(D29)</f>
        <v>223385.34907516386</v>
      </c>
      <c r="F14" s="192">
        <f>E14/D3</f>
        <v>0.45519267298591309</v>
      </c>
      <c r="G14" s="188">
        <f>F14*G4</f>
        <v>76269.353129481678</v>
      </c>
      <c r="H14" s="189">
        <f t="shared" si="1"/>
        <v>612796.87426544423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468</v>
      </c>
      <c r="C15" s="184">
        <f>129203.509739524-E33</f>
        <v>68044.609739524007</v>
      </c>
      <c r="D15" s="185">
        <f>C15/D3</f>
        <v>0.13865460701809684</v>
      </c>
      <c r="E15" s="186"/>
      <c r="F15" s="187"/>
      <c r="G15" s="188">
        <f>G4*D15</f>
        <v>23232.134024310199</v>
      </c>
      <c r="H15" s="189">
        <f t="shared" si="1"/>
        <v>44812.475715213805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61158.899999999994</v>
      </c>
      <c r="D16" s="185"/>
      <c r="E16" s="186"/>
      <c r="F16" s="187"/>
      <c r="G16" s="188"/>
      <c r="H16" s="189">
        <f>C16</f>
        <v>61158.899999999994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469</v>
      </c>
      <c r="C17" s="184">
        <f>C67</f>
        <v>270711</v>
      </c>
      <c r="D17" s="185">
        <f>C17/D3</f>
        <v>0.55162822542684753</v>
      </c>
      <c r="E17" s="186"/>
      <c r="F17" s="187"/>
      <c r="G17" s="188">
        <f>D17*G4</f>
        <v>92427.515683170015</v>
      </c>
      <c r="H17" s="189">
        <f t="shared" ref="H17:H18" si="2">C17-G17</f>
        <v>178283.48431683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470</v>
      </c>
      <c r="C18" s="318">
        <f>C79</f>
        <v>300000</v>
      </c>
      <c r="D18" s="319">
        <f>C18/D3</f>
        <v>0.61131046624649266</v>
      </c>
      <c r="E18" s="202"/>
      <c r="F18" s="203"/>
      <c r="G18" s="204">
        <f>D18*G4</f>
        <v>102427.51386146483</v>
      </c>
      <c r="H18" s="205">
        <f t="shared" si="2"/>
        <v>197572.48613853517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3574565.7071344499</v>
      </c>
      <c r="D19" s="268"/>
      <c r="E19" s="269"/>
      <c r="F19" s="270"/>
      <c r="G19" s="271">
        <f t="shared" ref="G19:H19" si="3">SUM(G6:G18)</f>
        <v>877929.06736785441</v>
      </c>
      <c r="H19" s="272">
        <f t="shared" si="3"/>
        <v>2696636.6397665958</v>
      </c>
      <c r="I19" s="214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4">C20-G20</f>
        <v>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4"/>
        <v>323195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4065314.7071344499</v>
      </c>
      <c r="D22" s="282"/>
      <c r="E22" s="283"/>
      <c r="F22" s="284"/>
      <c r="G22" s="285">
        <f t="shared" ref="G22:H22" si="5">G19+G20+G21</f>
        <v>1045483.0673678544</v>
      </c>
      <c r="H22" s="286">
        <f t="shared" si="5"/>
        <v>3019831.6397665958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8.2838980968569462</v>
      </c>
      <c r="D23" s="290"/>
      <c r="E23" s="291"/>
      <c r="F23" s="292"/>
      <c r="G23" s="295">
        <f>(G19+G20+G21)/G4</f>
        <v>6.2396783566363947</v>
      </c>
      <c r="H23" s="294">
        <f>(H20+H21+H19)/H4</f>
        <v>9.3436830389288072</v>
      </c>
      <c r="I23" s="68"/>
      <c r="J23" s="197"/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5.7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19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215</v>
      </c>
      <c r="D33" s="192">
        <v>284.45999999999998</v>
      </c>
      <c r="E33" s="310">
        <f>C33*D33</f>
        <v>61158.899999999994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341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5000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471</v>
      </c>
      <c r="C39" s="310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5</v>
      </c>
      <c r="B40" s="187" t="s">
        <v>383</v>
      </c>
      <c r="C40" s="310">
        <v>9917.52</v>
      </c>
      <c r="D40" s="68" t="s">
        <v>384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6</v>
      </c>
      <c r="B41" s="187" t="s">
        <v>409</v>
      </c>
      <c r="C41" s="310">
        <v>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54">
        <v>7</v>
      </c>
      <c r="B42" s="187" t="s">
        <v>410</v>
      </c>
      <c r="C42" s="310">
        <v>0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54">
        <v>8</v>
      </c>
      <c r="B43" s="187" t="s">
        <v>453</v>
      </c>
      <c r="C43" s="310">
        <v>0</v>
      </c>
      <c r="D43" s="68" t="s">
        <v>384</v>
      </c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54">
        <v>9</v>
      </c>
      <c r="B44" s="187"/>
      <c r="C44" s="310">
        <v>0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261"/>
      <c r="B45" s="311" t="s">
        <v>35</v>
      </c>
      <c r="C45" s="312">
        <f>SUM(C36:C44)</f>
        <v>145917.51999999999</v>
      </c>
      <c r="D45" s="68"/>
      <c r="E45" s="214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2.75" customHeight="1" x14ac:dyDescent="0.25">
      <c r="A46" s="249"/>
      <c r="B46" s="68"/>
      <c r="C46" s="68"/>
      <c r="D46" s="68"/>
      <c r="E46" s="214"/>
      <c r="F46" s="68"/>
      <c r="G46" s="21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2.75" customHeight="1" x14ac:dyDescent="0.25">
      <c r="A47" s="261" t="s">
        <v>298</v>
      </c>
      <c r="B47" s="261" t="s">
        <v>472</v>
      </c>
      <c r="C47" s="261" t="s">
        <v>309</v>
      </c>
      <c r="D47" s="68"/>
      <c r="E47" s="214"/>
      <c r="F47" s="68"/>
      <c r="G47" s="214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2.75" customHeight="1" x14ac:dyDescent="0.25">
      <c r="A48" s="254">
        <v>1</v>
      </c>
      <c r="B48" s="187" t="s">
        <v>473</v>
      </c>
      <c r="C48" s="310">
        <v>40138</v>
      </c>
      <c r="D48" s="68"/>
      <c r="E48" s="214"/>
      <c r="F48" s="68"/>
      <c r="G48" s="214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54">
        <v>2</v>
      </c>
      <c r="B49" s="187" t="s">
        <v>474</v>
      </c>
      <c r="C49" s="310">
        <v>17600</v>
      </c>
      <c r="D49" s="68" t="s">
        <v>384</v>
      </c>
      <c r="E49" s="214"/>
      <c r="F49" s="68"/>
      <c r="G49" s="214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3.5" customHeight="1" x14ac:dyDescent="0.25">
      <c r="A50" s="249"/>
      <c r="B50" s="68"/>
      <c r="C50" s="68"/>
      <c r="D50" s="68"/>
      <c r="E50" s="214"/>
      <c r="F50" s="68"/>
      <c r="G50" s="214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3.5" customHeight="1" x14ac:dyDescent="0.25">
      <c r="A51" s="249"/>
      <c r="B51" s="68"/>
      <c r="C51" s="68"/>
      <c r="D51" s="68"/>
      <c r="E51" s="214"/>
      <c r="F51" s="68"/>
      <c r="G51" s="214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3.5" customHeight="1" x14ac:dyDescent="0.25">
      <c r="A52" s="261" t="s">
        <v>298</v>
      </c>
      <c r="B52" s="261" t="s">
        <v>122</v>
      </c>
      <c r="C52" s="261" t="s">
        <v>309</v>
      </c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3.5" customHeight="1" x14ac:dyDescent="0.25">
      <c r="A53" s="254">
        <v>1</v>
      </c>
      <c r="B53" s="187" t="s">
        <v>475</v>
      </c>
      <c r="C53" s="310">
        <v>13500</v>
      </c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3.5" customHeight="1" x14ac:dyDescent="0.25">
      <c r="A54" s="254">
        <v>2</v>
      </c>
      <c r="B54" s="187" t="s">
        <v>476</v>
      </c>
      <c r="C54" s="310">
        <v>175000</v>
      </c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54">
        <v>3</v>
      </c>
      <c r="B55" s="187" t="s">
        <v>477</v>
      </c>
      <c r="C55" s="310">
        <v>40921</v>
      </c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54">
        <v>4</v>
      </c>
      <c r="B56" s="187" t="s">
        <v>478</v>
      </c>
      <c r="C56" s="310">
        <v>240</v>
      </c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54">
        <v>5</v>
      </c>
      <c r="B57" s="187" t="s">
        <v>479</v>
      </c>
      <c r="C57" s="310">
        <v>260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54">
        <v>6</v>
      </c>
      <c r="B58" s="187" t="s">
        <v>480</v>
      </c>
      <c r="C58" s="310">
        <v>350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54">
        <v>7</v>
      </c>
      <c r="B59" s="187" t="s">
        <v>481</v>
      </c>
      <c r="C59" s="310">
        <v>1350</v>
      </c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8</v>
      </c>
      <c r="B60" s="187" t="s">
        <v>482</v>
      </c>
      <c r="C60" s="310">
        <v>440</v>
      </c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54">
        <v>9</v>
      </c>
      <c r="B61" s="187" t="s">
        <v>483</v>
      </c>
      <c r="C61" s="310">
        <v>100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54">
        <v>10</v>
      </c>
      <c r="B62" s="187" t="s">
        <v>484</v>
      </c>
      <c r="C62" s="310">
        <v>13300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>
        <v>11</v>
      </c>
      <c r="B63" s="187" t="s">
        <v>485</v>
      </c>
      <c r="C63" s="310">
        <v>23750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54">
        <v>12</v>
      </c>
      <c r="B64" s="187" t="s">
        <v>486</v>
      </c>
      <c r="C64" s="310">
        <v>1500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54"/>
      <c r="B65" s="187"/>
      <c r="C65" s="310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54"/>
      <c r="B66" s="187"/>
      <c r="C66" s="310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61"/>
      <c r="B67" s="311" t="s">
        <v>35</v>
      </c>
      <c r="C67" s="312">
        <f>SUM(C53:C66)</f>
        <v>270711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49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61" t="s">
        <v>298</v>
      </c>
      <c r="B69" s="313" t="s">
        <v>349</v>
      </c>
      <c r="C69" s="261" t="s">
        <v>309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54">
        <v>1</v>
      </c>
      <c r="B70" s="187" t="s">
        <v>487</v>
      </c>
      <c r="C70" s="195">
        <v>681631.53808170592</v>
      </c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54">
        <v>2</v>
      </c>
      <c r="B71" s="187"/>
      <c r="C71" s="310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61"/>
      <c r="B72" s="311" t="s">
        <v>35</v>
      </c>
      <c r="C72" s="312">
        <f>SUM(C70:C71)</f>
        <v>681631.53808170592</v>
      </c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49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61" t="s">
        <v>298</v>
      </c>
      <c r="B74" s="328" t="s">
        <v>274</v>
      </c>
      <c r="C74" s="261" t="s">
        <v>309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3">
      <c r="A75" s="254">
        <v>1</v>
      </c>
      <c r="B75" s="187" t="s">
        <v>437</v>
      </c>
      <c r="C75" s="322">
        <v>900000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3">
      <c r="A76" s="254">
        <v>2</v>
      </c>
      <c r="B76" s="187"/>
      <c r="C76" s="322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61"/>
      <c r="B77" s="311" t="s">
        <v>488</v>
      </c>
      <c r="C77" s="312">
        <v>300000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54"/>
      <c r="B78" s="311"/>
      <c r="C78" s="311">
        <f>C76/3</f>
        <v>0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54"/>
      <c r="B79" s="187"/>
      <c r="C79" s="327">
        <f>SUM(C77:C78)</f>
        <v>300000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49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49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>
        <v>1100000</v>
      </c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>
        <f>C82/20</f>
        <v>55000</v>
      </c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3.5" customHeight="1" x14ac:dyDescent="0.25">
      <c r="A278" s="249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62"/>
      <c r="U278" s="162"/>
      <c r="V278" s="162"/>
      <c r="W278" s="162"/>
      <c r="X278" s="162"/>
      <c r="Y278" s="162"/>
      <c r="Z278" s="162"/>
    </row>
    <row r="279" spans="1:26" ht="13.5" customHeight="1" x14ac:dyDescent="0.25">
      <c r="A279" s="249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162"/>
      <c r="U279" s="162"/>
      <c r="V279" s="162"/>
      <c r="W279" s="162"/>
      <c r="X279" s="162"/>
      <c r="Y279" s="162"/>
      <c r="Z279" s="162"/>
    </row>
    <row r="280" spans="1:26" ht="13.5" customHeight="1" x14ac:dyDescent="0.25">
      <c r="A280" s="249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162"/>
      <c r="U280" s="162"/>
      <c r="V280" s="162"/>
      <c r="W280" s="162"/>
      <c r="X280" s="162"/>
      <c r="Y280" s="162"/>
      <c r="Z280" s="162"/>
    </row>
    <row r="281" spans="1:26" ht="13.5" customHeight="1" x14ac:dyDescent="0.25">
      <c r="A281" s="249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162"/>
      <c r="U281" s="162"/>
      <c r="V281" s="162"/>
      <c r="W281" s="162"/>
      <c r="X281" s="162"/>
      <c r="Y281" s="162"/>
      <c r="Z281" s="162"/>
    </row>
    <row r="282" spans="1:26" ht="13.5" customHeight="1" x14ac:dyDescent="0.25">
      <c r="A282" s="249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162"/>
      <c r="U282" s="162"/>
      <c r="V282" s="162"/>
      <c r="W282" s="162"/>
      <c r="X282" s="162"/>
      <c r="Y282" s="162"/>
      <c r="Z282" s="162"/>
    </row>
    <row r="283" spans="1:26" ht="13.5" customHeight="1" x14ac:dyDescent="0.25">
      <c r="A283" s="249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162"/>
      <c r="U283" s="162"/>
      <c r="V283" s="162"/>
      <c r="W283" s="162"/>
      <c r="X283" s="162"/>
      <c r="Y283" s="162"/>
      <c r="Z283" s="162"/>
    </row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dataValidations count="1">
    <dataValidation type="list" allowBlank="1" showErrorMessage="1" sqref="I14" xr:uid="{00000000-0002-0000-2300-000000000000}">
      <formula1>"Percentage basis,SFT basis"</formula1>
    </dataValidation>
  </dataValidations>
  <pageMargins left="0.7" right="0.7" top="0.75" bottom="0.75" header="0" footer="0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42578125" customWidth="1"/>
    <col min="7" max="7" width="10.5703125" customWidth="1"/>
    <col min="8" max="8" width="9.28515625" customWidth="1"/>
    <col min="9" max="26" width="12.42578125" customWidth="1"/>
  </cols>
  <sheetData>
    <row r="1" spans="1:26" x14ac:dyDescent="0.25">
      <c r="A1" s="381" t="s">
        <v>489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'CAM-Oct`24'!H23</f>
        <v>9.3436830389288072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30936.934541893283</v>
      </c>
      <c r="G5" s="110">
        <f>C5*65%</f>
        <v>2152.15</v>
      </c>
      <c r="H5" s="111">
        <f>F5/G5</f>
        <v>14.374896982967396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35655.494476552325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35636.807110474474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34085.755726012292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32104.89492175938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25442.848915003142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12903.626276760682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7054.4806943912499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490</v>
      </c>
      <c r="C16" s="106">
        <v>3214</v>
      </c>
      <c r="D16" s="107" t="s">
        <v>163</v>
      </c>
      <c r="E16" s="108"/>
      <c r="F16" s="109">
        <f>C16*F2</f>
        <v>30030.597287117187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491</v>
      </c>
      <c r="C17" s="106">
        <v>3511</v>
      </c>
      <c r="D17" s="107" t="s">
        <v>163</v>
      </c>
      <c r="E17" s="108"/>
      <c r="F17" s="109">
        <f>C17*F2</f>
        <v>32805.671149679045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141</v>
      </c>
      <c r="C18" s="106">
        <f>7686</f>
        <v>7686</v>
      </c>
      <c r="D18" s="107" t="s">
        <v>163</v>
      </c>
      <c r="E18" s="108"/>
      <c r="F18" s="109">
        <f>C18*F2</f>
        <v>71815.547837206817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492</v>
      </c>
      <c r="C19" s="106">
        <v>4755</v>
      </c>
      <c r="D19" s="107" t="s">
        <v>164</v>
      </c>
      <c r="E19" s="108"/>
      <c r="F19" s="109">
        <f>C19*F2</f>
        <v>44429.21285010648</v>
      </c>
      <c r="G19" s="112"/>
      <c r="H19" s="113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104">
        <v>5</v>
      </c>
      <c r="B20" s="105" t="s">
        <v>493</v>
      </c>
      <c r="C20" s="106">
        <v>4959</v>
      </c>
      <c r="D20" s="107" t="s">
        <v>164</v>
      </c>
      <c r="E20" s="108"/>
      <c r="F20" s="109">
        <f>C20*F2</f>
        <v>46335.324190047955</v>
      </c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>
        <v>6</v>
      </c>
      <c r="B21" s="105" t="s">
        <v>147</v>
      </c>
      <c r="C21" s="106">
        <f>9514</f>
        <v>9514</v>
      </c>
      <c r="D21" s="107" t="s">
        <v>142</v>
      </c>
      <c r="E21" s="108"/>
      <c r="F21" s="109">
        <f>C21*F2</f>
        <v>88895.800432368676</v>
      </c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8" t="s">
        <v>35</v>
      </c>
      <c r="B22" s="375"/>
      <c r="C22" s="106">
        <f>C16+C17+C18+C19+C20+C21</f>
        <v>33639</v>
      </c>
      <c r="D22" s="107"/>
      <c r="E22" s="108"/>
      <c r="F22" s="115"/>
      <c r="G22" s="112"/>
      <c r="H22" s="113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04"/>
      <c r="B23" s="122"/>
      <c r="C23" s="123"/>
      <c r="D23" s="107"/>
      <c r="E23" s="108"/>
      <c r="F23" s="115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396" t="s">
        <v>165</v>
      </c>
      <c r="B24" s="374"/>
      <c r="C24" s="374"/>
      <c r="D24" s="397"/>
      <c r="E24" s="116"/>
      <c r="F24" s="117"/>
      <c r="G24" s="112"/>
      <c r="H24" s="120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18" t="s">
        <v>131</v>
      </c>
      <c r="B25" s="105" t="s">
        <v>34</v>
      </c>
      <c r="C25" s="106" t="s">
        <v>162</v>
      </c>
      <c r="D25" s="119" t="s">
        <v>133</v>
      </c>
      <c r="E25" s="108"/>
      <c r="F25" s="124"/>
      <c r="G25" s="112"/>
      <c r="H25" s="120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>
        <v>1</v>
      </c>
      <c r="B26" s="105" t="s">
        <v>166</v>
      </c>
      <c r="C26" s="106">
        <v>167554</v>
      </c>
      <c r="D26" s="107" t="s">
        <v>167</v>
      </c>
      <c r="E26" s="108"/>
      <c r="F26" s="109">
        <f>C26*'CAM-Oct`24'!G23</f>
        <v>1045483.0673678545</v>
      </c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104"/>
      <c r="B27" s="114"/>
      <c r="C27" s="106"/>
      <c r="D27" s="107"/>
      <c r="E27" s="108"/>
      <c r="F27" s="115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04"/>
      <c r="B28" s="114"/>
      <c r="C28" s="106"/>
      <c r="D28" s="107"/>
      <c r="E28" s="108"/>
      <c r="F28" s="115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396" t="s">
        <v>168</v>
      </c>
      <c r="B29" s="374"/>
      <c r="C29" s="374"/>
      <c r="D29" s="397"/>
      <c r="E29" s="116"/>
      <c r="F29" s="117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18" t="s">
        <v>131</v>
      </c>
      <c r="B30" s="105" t="s">
        <v>34</v>
      </c>
      <c r="C30" s="106" t="s">
        <v>162</v>
      </c>
      <c r="D30" s="119" t="s">
        <v>133</v>
      </c>
      <c r="E30" s="108"/>
      <c r="F30" s="320"/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>
        <v>1</v>
      </c>
      <c r="B31" s="105" t="s">
        <v>169</v>
      </c>
      <c r="C31" s="106">
        <v>5637</v>
      </c>
      <c r="D31" s="107" t="s">
        <v>163</v>
      </c>
      <c r="E31" s="108"/>
      <c r="F31" s="321"/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170</v>
      </c>
      <c r="C32" s="126">
        <v>2000</v>
      </c>
      <c r="D32" s="127" t="s">
        <v>171</v>
      </c>
      <c r="E32" s="108"/>
      <c r="F32" s="321">
        <f>C32*F2</f>
        <v>18687.366077857616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25" t="s">
        <v>172</v>
      </c>
      <c r="C33" s="126">
        <f>587</f>
        <v>587</v>
      </c>
      <c r="D33" s="129" t="s">
        <v>163</v>
      </c>
      <c r="E33" s="108"/>
      <c r="F33" s="321">
        <f>C33*F2</f>
        <v>5484.7419438512097</v>
      </c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/>
      <c r="B34" s="125" t="s">
        <v>173</v>
      </c>
      <c r="C34" s="126">
        <f>3050</f>
        <v>3050</v>
      </c>
      <c r="D34" s="129" t="s">
        <v>174</v>
      </c>
      <c r="E34" s="108"/>
      <c r="F34" s="321">
        <f>C34*F2</f>
        <v>28498.233268732864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/>
      <c r="B35" s="131" t="s">
        <v>175</v>
      </c>
      <c r="C35" s="132">
        <f>SUM(C32:C34)</f>
        <v>5637</v>
      </c>
      <c r="D35" s="127"/>
      <c r="E35" s="108"/>
      <c r="F35" s="321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>
        <v>2</v>
      </c>
      <c r="B36" s="105" t="s">
        <v>176</v>
      </c>
      <c r="C36" s="106">
        <v>11425</v>
      </c>
      <c r="D36" s="107" t="s">
        <v>177</v>
      </c>
      <c r="E36" s="108"/>
      <c r="F36" s="321">
        <f>C36*F2</f>
        <v>106751.57871976163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>
        <v>3</v>
      </c>
      <c r="B37" s="105" t="s">
        <v>178</v>
      </c>
      <c r="C37" s="106">
        <f>8457</f>
        <v>8457</v>
      </c>
      <c r="D37" s="107" t="s">
        <v>179</v>
      </c>
      <c r="E37" s="108"/>
      <c r="F37" s="321"/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180</v>
      </c>
      <c r="C38" s="126">
        <v>2156</v>
      </c>
      <c r="D38" s="127" t="s">
        <v>181</v>
      </c>
      <c r="E38" s="108"/>
      <c r="F38" s="321">
        <f>C38*F2</f>
        <v>20144.98063193051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182</v>
      </c>
      <c r="C39" s="126">
        <f>2073</f>
        <v>2073</v>
      </c>
      <c r="D39" s="127" t="s">
        <v>183</v>
      </c>
      <c r="E39" s="108"/>
      <c r="F39" s="321">
        <f>C39*F2</f>
        <v>19369.454939699419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3" t="s">
        <v>184</v>
      </c>
      <c r="C40" s="126">
        <f>2927</f>
        <v>2927</v>
      </c>
      <c r="D40" s="127" t="s">
        <v>185</v>
      </c>
      <c r="E40" s="108"/>
      <c r="F40" s="321">
        <f>C40*F2</f>
        <v>27348.960254944617</v>
      </c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/>
      <c r="B41" s="133" t="s">
        <v>186</v>
      </c>
      <c r="C41" s="126">
        <f>1301</f>
        <v>1301</v>
      </c>
      <c r="D41" s="127" t="s">
        <v>187</v>
      </c>
      <c r="E41" s="108"/>
      <c r="F41" s="321">
        <f>C41*F2</f>
        <v>12156.131633646379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104"/>
      <c r="B42" s="131" t="s">
        <v>175</v>
      </c>
      <c r="C42" s="132">
        <f>SUM(C38:C41)</f>
        <v>8457</v>
      </c>
      <c r="D42" s="107"/>
      <c r="E42" s="108"/>
      <c r="F42" s="321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>
        <v>4</v>
      </c>
      <c r="B43" s="105" t="s">
        <v>188</v>
      </c>
      <c r="C43" s="106">
        <v>8699</v>
      </c>
      <c r="D43" s="107" t="s">
        <v>187</v>
      </c>
      <c r="E43" s="108"/>
      <c r="F43" s="321">
        <f>C43*F2</f>
        <v>81280.698755641701</v>
      </c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8" t="s">
        <v>35</v>
      </c>
      <c r="B44" s="375"/>
      <c r="C44" s="106">
        <f>SUM(C31,C36,C37,C43)</f>
        <v>34218</v>
      </c>
      <c r="D44" s="107"/>
      <c r="E44" s="108"/>
      <c r="F44" s="321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04"/>
      <c r="B45" s="114"/>
      <c r="C45" s="106"/>
      <c r="D45" s="107"/>
      <c r="E45" s="108"/>
      <c r="F45" s="320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396" t="s">
        <v>189</v>
      </c>
      <c r="B46" s="374"/>
      <c r="C46" s="374"/>
      <c r="D46" s="397"/>
      <c r="E46" s="116"/>
      <c r="F46" s="117"/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18" t="s">
        <v>131</v>
      </c>
      <c r="B47" s="105" t="s">
        <v>34</v>
      </c>
      <c r="C47" s="106" t="s">
        <v>162</v>
      </c>
      <c r="D47" s="119" t="s">
        <v>133</v>
      </c>
      <c r="E47" s="108"/>
      <c r="F47" s="115"/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1</v>
      </c>
      <c r="B48" s="105" t="s">
        <v>169</v>
      </c>
      <c r="C48" s="106">
        <f>2101</f>
        <v>2101</v>
      </c>
      <c r="D48" s="107" t="s">
        <v>190</v>
      </c>
      <c r="E48" s="108"/>
      <c r="F48" s="109">
        <f>C48*F2</f>
        <v>19631.078064789424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2</v>
      </c>
      <c r="B49" s="105" t="s">
        <v>176</v>
      </c>
      <c r="C49" s="106">
        <v>11425</v>
      </c>
      <c r="D49" s="107" t="s">
        <v>190</v>
      </c>
      <c r="E49" s="108"/>
      <c r="F49" s="109">
        <f>C49*F2</f>
        <v>106751.57871976163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104">
        <v>3</v>
      </c>
      <c r="B50" s="105" t="s">
        <v>178</v>
      </c>
      <c r="C50" s="106">
        <f>8457</f>
        <v>8457</v>
      </c>
      <c r="D50" s="107" t="s">
        <v>190</v>
      </c>
      <c r="E50" s="108"/>
      <c r="F50" s="109">
        <f>C50*F2</f>
        <v>79019.527460220925</v>
      </c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>
        <v>4</v>
      </c>
      <c r="B51" s="105" t="s">
        <v>188</v>
      </c>
      <c r="C51" s="106">
        <v>8699</v>
      </c>
      <c r="D51" s="107" t="s">
        <v>190</v>
      </c>
      <c r="E51" s="108"/>
      <c r="F51" s="109">
        <f>C51*F2</f>
        <v>81280.698755641701</v>
      </c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8" t="s">
        <v>35</v>
      </c>
      <c r="B52" s="375"/>
      <c r="C52" s="106">
        <f>SUM(C48:C51)</f>
        <v>30682</v>
      </c>
      <c r="D52" s="107"/>
      <c r="E52" s="108"/>
      <c r="F52" s="115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04"/>
      <c r="B53" s="114"/>
      <c r="C53" s="106"/>
      <c r="D53" s="107"/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396" t="s">
        <v>191</v>
      </c>
      <c r="B54" s="374"/>
      <c r="C54" s="374"/>
      <c r="D54" s="397"/>
      <c r="E54" s="116"/>
      <c r="F54" s="117"/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18" t="s">
        <v>131</v>
      </c>
      <c r="B55" s="105" t="s">
        <v>34</v>
      </c>
      <c r="C55" s="106" t="s">
        <v>162</v>
      </c>
      <c r="D55" s="119" t="s">
        <v>133</v>
      </c>
      <c r="E55" s="108"/>
      <c r="F55" s="115"/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1</v>
      </c>
      <c r="B56" s="105" t="s">
        <v>169</v>
      </c>
      <c r="C56" s="106">
        <v>5637</v>
      </c>
      <c r="D56" s="107" t="s">
        <v>192</v>
      </c>
      <c r="E56" s="108"/>
      <c r="F56" s="109">
        <f>C56*F2</f>
        <v>52670.341290441684</v>
      </c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>
        <v>2</v>
      </c>
      <c r="B57" s="105" t="s">
        <v>176</v>
      </c>
      <c r="C57" s="106">
        <v>11425</v>
      </c>
      <c r="D57" s="107" t="s">
        <v>192</v>
      </c>
      <c r="E57" s="108"/>
      <c r="F57" s="109">
        <f>C57*F2</f>
        <v>106751.57871976163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>
        <v>3</v>
      </c>
      <c r="B58" s="105" t="s">
        <v>178</v>
      </c>
      <c r="C58" s="106">
        <f>8457</f>
        <v>8457</v>
      </c>
      <c r="D58" s="107" t="s">
        <v>193</v>
      </c>
      <c r="E58" s="108"/>
      <c r="F58" s="109"/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3.1</v>
      </c>
      <c r="C59" s="126">
        <f>3957</f>
        <v>3957</v>
      </c>
      <c r="D59" s="127" t="s">
        <v>194</v>
      </c>
      <c r="E59" s="108"/>
      <c r="F59" s="321">
        <f>C59*F2</f>
        <v>36972.953785041289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3.2</v>
      </c>
      <c r="C60" s="126">
        <f t="shared" ref="C60:C62" si="0">1500</f>
        <v>1500</v>
      </c>
      <c r="D60" s="127" t="s">
        <v>195</v>
      </c>
      <c r="E60" s="108"/>
      <c r="F60" s="321">
        <f>C60*F2</f>
        <v>14015.52455839321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25">
        <v>3.3</v>
      </c>
      <c r="C61" s="126">
        <f t="shared" si="0"/>
        <v>1500</v>
      </c>
      <c r="D61" s="127" t="s">
        <v>196</v>
      </c>
      <c r="E61" s="108"/>
      <c r="F61" s="321">
        <f>C61*F2</f>
        <v>14015.52455839321</v>
      </c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/>
      <c r="B62" s="125">
        <v>3.4</v>
      </c>
      <c r="C62" s="126">
        <f t="shared" si="0"/>
        <v>1500</v>
      </c>
      <c r="D62" s="127" t="s">
        <v>197</v>
      </c>
      <c r="E62" s="108"/>
      <c r="F62" s="321">
        <f>C62*F2</f>
        <v>14015.52455839321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104"/>
      <c r="B63" s="131" t="s">
        <v>175</v>
      </c>
      <c r="C63" s="132">
        <f>SUM(C59:C62)</f>
        <v>8457</v>
      </c>
      <c r="D63" s="107"/>
      <c r="E63" s="108"/>
      <c r="F63" s="109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>
        <v>4</v>
      </c>
      <c r="B64" s="105" t="s">
        <v>188</v>
      </c>
      <c r="C64" s="106">
        <v>8699</v>
      </c>
      <c r="D64" s="107" t="s">
        <v>198</v>
      </c>
      <c r="E64" s="108"/>
      <c r="F64" s="109">
        <f>C64*F2</f>
        <v>81280.698755641701</v>
      </c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8" t="s">
        <v>35</v>
      </c>
      <c r="B65" s="375"/>
      <c r="C65" s="106">
        <f>SUM(C56:C58,C64)</f>
        <v>34218</v>
      </c>
      <c r="D65" s="107"/>
      <c r="E65" s="108"/>
      <c r="F65" s="109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04"/>
      <c r="B66" s="114"/>
      <c r="C66" s="106"/>
      <c r="D66" s="107"/>
      <c r="E66" s="108"/>
      <c r="F66" s="109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396" t="s">
        <v>199</v>
      </c>
      <c r="B67" s="374"/>
      <c r="C67" s="374"/>
      <c r="D67" s="397"/>
      <c r="E67" s="116"/>
      <c r="F67" s="117"/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18" t="s">
        <v>131</v>
      </c>
      <c r="B68" s="105" t="s">
        <v>34</v>
      </c>
      <c r="C68" s="106" t="s">
        <v>162</v>
      </c>
      <c r="D68" s="119" t="s">
        <v>133</v>
      </c>
      <c r="E68" s="108"/>
      <c r="F68" s="115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>
        <v>1</v>
      </c>
      <c r="B69" s="105" t="s">
        <v>169</v>
      </c>
      <c r="C69" s="106">
        <v>5637</v>
      </c>
      <c r="D69" s="107" t="s">
        <v>200</v>
      </c>
      <c r="E69" s="108" t="s">
        <v>201</v>
      </c>
      <c r="F69" s="109">
        <f>C69*F2</f>
        <v>52670.341290441684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>
        <v>2</v>
      </c>
      <c r="B70" s="105" t="s">
        <v>176</v>
      </c>
      <c r="C70" s="106">
        <v>11425</v>
      </c>
      <c r="D70" s="107" t="s">
        <v>163</v>
      </c>
      <c r="E70" s="108"/>
      <c r="F70" s="109"/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2.1</v>
      </c>
      <c r="C71" s="126">
        <v>3000</v>
      </c>
      <c r="D71" s="129" t="s">
        <v>202</v>
      </c>
      <c r="E71" s="108"/>
      <c r="F71" s="109">
        <f>C71*F2</f>
        <v>28031.04911678642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2.2000000000000002</v>
      </c>
      <c r="C72" s="126">
        <v>1000</v>
      </c>
      <c r="D72" s="129" t="s">
        <v>203</v>
      </c>
      <c r="E72" s="108"/>
      <c r="F72" s="109">
        <f>C72*F2</f>
        <v>9343.6830389288079</v>
      </c>
      <c r="G72" s="112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2.2999999999999998</v>
      </c>
      <c r="C73" s="126">
        <f>3925-1000+500</f>
        <v>3425</v>
      </c>
      <c r="D73" s="129" t="s">
        <v>204</v>
      </c>
      <c r="E73" s="108"/>
      <c r="F73" s="109">
        <f>C73*F2</f>
        <v>32002.114408331166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2.4</v>
      </c>
      <c r="C74" s="126">
        <v>1000</v>
      </c>
      <c r="D74" s="129" t="s">
        <v>205</v>
      </c>
      <c r="E74" s="108"/>
      <c r="F74" s="109">
        <f>C74*F2</f>
        <v>9343.6830389288079</v>
      </c>
      <c r="G74" s="135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25">
        <v>2.5</v>
      </c>
      <c r="C75" s="126">
        <v>2000</v>
      </c>
      <c r="D75" s="129" t="s">
        <v>206</v>
      </c>
      <c r="E75" s="108"/>
      <c r="F75" s="109">
        <f>C75*F2</f>
        <v>18687.366077857616</v>
      </c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/>
      <c r="B76" s="125">
        <v>2.6</v>
      </c>
      <c r="C76" s="126">
        <v>1000</v>
      </c>
      <c r="D76" s="129" t="s">
        <v>207</v>
      </c>
      <c r="E76" s="108"/>
      <c r="F76" s="109">
        <f>C76*F2</f>
        <v>9343.6830389288079</v>
      </c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31" t="s">
        <v>175</v>
      </c>
      <c r="C77" s="132">
        <f>SUM(C71:C76)</f>
        <v>11425</v>
      </c>
      <c r="D77" s="127"/>
      <c r="E77" s="108"/>
      <c r="F77" s="115"/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>
        <v>3</v>
      </c>
      <c r="B78" s="105" t="s">
        <v>178</v>
      </c>
      <c r="C78" s="106">
        <f>8457</f>
        <v>8457</v>
      </c>
      <c r="D78" s="107" t="s">
        <v>208</v>
      </c>
      <c r="E78" s="108"/>
      <c r="F78" s="109"/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3.1</v>
      </c>
      <c r="C79" s="106">
        <v>2300</v>
      </c>
      <c r="D79" s="107" t="s">
        <v>209</v>
      </c>
      <c r="E79" s="108"/>
      <c r="F79" s="109">
        <f>C79*F2</f>
        <v>21490.470989536258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3.2</v>
      </c>
      <c r="C80" s="106">
        <v>1000</v>
      </c>
      <c r="D80" s="107" t="s">
        <v>210</v>
      </c>
      <c r="E80" s="108"/>
      <c r="F80" s="109">
        <f>C80*F2</f>
        <v>9343.6830389288079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3.3</v>
      </c>
      <c r="C81" s="106">
        <v>1153</v>
      </c>
      <c r="D81" s="107" t="s">
        <v>211</v>
      </c>
      <c r="E81" s="108"/>
      <c r="F81" s="109">
        <f>C81*F2</f>
        <v>10773.266543884914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3.4</v>
      </c>
      <c r="C82" s="106">
        <v>1152</v>
      </c>
      <c r="D82" s="107" t="s">
        <v>212</v>
      </c>
      <c r="E82" s="108"/>
      <c r="F82" s="109">
        <f>C82*F2</f>
        <v>10763.922860845985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3.5</v>
      </c>
      <c r="C83" s="106">
        <v>1152</v>
      </c>
      <c r="D83" s="107" t="s">
        <v>213</v>
      </c>
      <c r="E83" s="108"/>
      <c r="F83" s="109">
        <f>C83*F2</f>
        <v>10763.922860845985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25">
        <v>3.6</v>
      </c>
      <c r="C84" s="106">
        <v>850</v>
      </c>
      <c r="D84" s="107" t="s">
        <v>214</v>
      </c>
      <c r="E84" s="108"/>
      <c r="F84" s="109">
        <f>C84*F2</f>
        <v>7942.1305830894862</v>
      </c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/>
      <c r="B85" s="125">
        <v>3.7</v>
      </c>
      <c r="C85" s="106">
        <v>850</v>
      </c>
      <c r="D85" s="107" t="s">
        <v>215</v>
      </c>
      <c r="E85" s="108"/>
      <c r="F85" s="109">
        <f>C85*F2</f>
        <v>7942.1305830894862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104"/>
      <c r="B86" s="131" t="s">
        <v>175</v>
      </c>
      <c r="C86" s="136">
        <f>SUM(C79:C85)</f>
        <v>8457</v>
      </c>
      <c r="D86" s="107"/>
      <c r="E86" s="108"/>
      <c r="F86" s="109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>
        <v>4</v>
      </c>
      <c r="B87" s="105" t="s">
        <v>188</v>
      </c>
      <c r="C87" s="106">
        <v>8699</v>
      </c>
      <c r="D87" s="107" t="s">
        <v>216</v>
      </c>
      <c r="E87" s="108"/>
      <c r="F87" s="109">
        <f>C87*F2</f>
        <v>81280.698755641701</v>
      </c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8" t="s">
        <v>35</v>
      </c>
      <c r="B88" s="375"/>
      <c r="C88" s="106">
        <f>SUM(C69,C77,C78,C87)</f>
        <v>34218</v>
      </c>
      <c r="D88" s="107"/>
      <c r="E88" s="108"/>
      <c r="F88" s="115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04"/>
      <c r="B89" s="114"/>
      <c r="C89" s="106"/>
      <c r="D89" s="107"/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396" t="s">
        <v>217</v>
      </c>
      <c r="B90" s="374"/>
      <c r="C90" s="374"/>
      <c r="D90" s="397"/>
      <c r="E90" s="116"/>
      <c r="F90" s="117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18" t="s">
        <v>131</v>
      </c>
      <c r="B91" s="105" t="s">
        <v>34</v>
      </c>
      <c r="C91" s="106" t="s">
        <v>162</v>
      </c>
      <c r="D91" s="119" t="s">
        <v>133</v>
      </c>
      <c r="E91" s="108"/>
      <c r="F91" s="115"/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>
        <v>1</v>
      </c>
      <c r="B92" s="138" t="s">
        <v>169</v>
      </c>
      <c r="C92" s="139">
        <v>5637</v>
      </c>
      <c r="D92" s="140" t="s">
        <v>163</v>
      </c>
      <c r="E92" s="108"/>
      <c r="F92" s="109"/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41" t="s">
        <v>218</v>
      </c>
      <c r="C93" s="142">
        <f>2587</f>
        <v>2587</v>
      </c>
      <c r="D93" s="129" t="s">
        <v>219</v>
      </c>
      <c r="E93" s="108"/>
      <c r="F93" s="109">
        <f>C93*F2</f>
        <v>24172.108021708824</v>
      </c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/>
      <c r="B94" s="141" t="s">
        <v>173</v>
      </c>
      <c r="C94" s="142">
        <v>3050</v>
      </c>
      <c r="D94" s="129" t="s">
        <v>220</v>
      </c>
      <c r="E94" s="108"/>
      <c r="F94" s="109">
        <f>C94*F2</f>
        <v>28498.233268732864</v>
      </c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31" t="s">
        <v>175</v>
      </c>
      <c r="C95" s="132">
        <f>SUM(C93:C94)</f>
        <v>5637</v>
      </c>
      <c r="D95" s="140"/>
      <c r="E95" s="108"/>
      <c r="F95" s="115"/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>
        <v>2</v>
      </c>
      <c r="B96" s="138" t="s">
        <v>176</v>
      </c>
      <c r="C96" s="139">
        <v>11425</v>
      </c>
      <c r="D96" s="140" t="s">
        <v>221</v>
      </c>
      <c r="E96" s="108"/>
      <c r="F96" s="109"/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2.1</v>
      </c>
      <c r="C97" s="142">
        <v>3028</v>
      </c>
      <c r="D97" s="144" t="s">
        <v>222</v>
      </c>
      <c r="E97" s="108"/>
      <c r="F97" s="109">
        <f>C97*F2</f>
        <v>28292.672241876429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2.2000000000000002</v>
      </c>
      <c r="C98" s="142">
        <f>4004-1320</f>
        <v>2684</v>
      </c>
      <c r="D98" s="144" t="s">
        <v>223</v>
      </c>
      <c r="E98" s="108"/>
      <c r="F98" s="109">
        <f>C98*F2</f>
        <v>25078.445276484919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43">
        <v>2.2999999999999998</v>
      </c>
      <c r="C99" s="142">
        <v>3028</v>
      </c>
      <c r="D99" s="144" t="s">
        <v>224</v>
      </c>
      <c r="E99" s="108"/>
      <c r="F99" s="109">
        <f>C99*F2</f>
        <v>28292.672241876429</v>
      </c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/>
      <c r="B100" s="143">
        <v>2.4</v>
      </c>
      <c r="C100" s="142">
        <f>1365+1320</f>
        <v>2685</v>
      </c>
      <c r="D100" s="144" t="s">
        <v>225</v>
      </c>
      <c r="E100" s="108"/>
      <c r="F100" s="109">
        <f>C100*F2</f>
        <v>25087.788959523848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/>
      <c r="B101" s="131" t="s">
        <v>175</v>
      </c>
      <c r="C101" s="132">
        <f>SUM(C97:C100)</f>
        <v>11425</v>
      </c>
      <c r="D101" s="144"/>
      <c r="E101" s="108"/>
      <c r="F101" s="115"/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137">
        <v>3</v>
      </c>
      <c r="B102" s="138" t="s">
        <v>178</v>
      </c>
      <c r="C102" s="139">
        <v>8457</v>
      </c>
      <c r="D102" s="140" t="s">
        <v>226</v>
      </c>
      <c r="E102" s="108"/>
      <c r="F102" s="109">
        <f>C102*F2</f>
        <v>79019.527460220925</v>
      </c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37">
        <v>4</v>
      </c>
      <c r="B103" s="145" t="s">
        <v>188</v>
      </c>
      <c r="C103" s="139">
        <v>8699</v>
      </c>
      <c r="D103" s="140" t="s">
        <v>227</v>
      </c>
      <c r="E103" s="108"/>
      <c r="F103" s="109">
        <f>C103*F2</f>
        <v>81280.698755641701</v>
      </c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9" t="s">
        <v>35</v>
      </c>
      <c r="B104" s="375"/>
      <c r="C104" s="139">
        <f>SUM(C92+C101+C102+C103)</f>
        <v>34218</v>
      </c>
      <c r="D104" s="140"/>
      <c r="E104" s="108"/>
      <c r="F104" s="115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04"/>
      <c r="B105" s="114"/>
      <c r="C105" s="106"/>
      <c r="D105" s="107"/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396" t="s">
        <v>228</v>
      </c>
      <c r="B106" s="374"/>
      <c r="C106" s="374"/>
      <c r="D106" s="397"/>
      <c r="E106" s="116"/>
      <c r="F106" s="117"/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18" t="s">
        <v>131</v>
      </c>
      <c r="B107" s="105" t="s">
        <v>34</v>
      </c>
      <c r="C107" s="106" t="s">
        <v>162</v>
      </c>
      <c r="D107" s="119" t="s">
        <v>133</v>
      </c>
      <c r="E107" s="108"/>
      <c r="F107" s="115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04">
        <v>1</v>
      </c>
      <c r="B108" s="105" t="s">
        <v>169</v>
      </c>
      <c r="C108" s="106">
        <f>2101</f>
        <v>2101</v>
      </c>
      <c r="D108" s="107" t="s">
        <v>229</v>
      </c>
      <c r="E108" s="108"/>
      <c r="F108" s="109">
        <f>C108*F2</f>
        <v>19631.078064789424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04">
        <v>2</v>
      </c>
      <c r="B109" s="105" t="s">
        <v>176</v>
      </c>
      <c r="C109" s="106">
        <v>11425</v>
      </c>
      <c r="D109" s="107" t="s">
        <v>230</v>
      </c>
      <c r="E109" s="108"/>
      <c r="F109" s="109"/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25">
        <v>2.1</v>
      </c>
      <c r="C110" s="126">
        <f>11166</f>
        <v>11166</v>
      </c>
      <c r="D110" s="127" t="s">
        <v>231</v>
      </c>
      <c r="E110" s="108"/>
      <c r="F110" s="109">
        <f>C110*F2</f>
        <v>104331.56481267906</v>
      </c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46"/>
      <c r="B111" s="125">
        <v>2.2000000000000002</v>
      </c>
      <c r="C111" s="126">
        <f>259</f>
        <v>259</v>
      </c>
      <c r="D111" s="127" t="s">
        <v>232</v>
      </c>
      <c r="E111" s="108"/>
      <c r="F111" s="109">
        <f>C111*F2</f>
        <v>2420.0139070825612</v>
      </c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31" t="s">
        <v>233</v>
      </c>
      <c r="C112" s="132">
        <f>SUM(C110:C111)</f>
        <v>11425</v>
      </c>
      <c r="D112" s="127"/>
      <c r="E112" s="108"/>
      <c r="F112" s="115"/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04">
        <v>3</v>
      </c>
      <c r="B113" s="105" t="s">
        <v>178</v>
      </c>
      <c r="C113" s="106">
        <f>8457</f>
        <v>8457</v>
      </c>
      <c r="D113" s="107" t="s">
        <v>234</v>
      </c>
      <c r="E113" s="108"/>
      <c r="F113" s="109"/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25">
        <v>3.1</v>
      </c>
      <c r="C114" s="126">
        <f>7640</f>
        <v>7640</v>
      </c>
      <c r="D114" s="127" t="s">
        <v>232</v>
      </c>
      <c r="E114" s="108"/>
      <c r="F114" s="109">
        <f>C114*F2</f>
        <v>71385.738417416083</v>
      </c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46"/>
      <c r="B115" s="125">
        <v>3.2</v>
      </c>
      <c r="C115" s="126">
        <f>817</f>
        <v>817</v>
      </c>
      <c r="D115" s="127" t="s">
        <v>235</v>
      </c>
      <c r="E115" s="108"/>
      <c r="F115" s="109">
        <f>C115*F2</f>
        <v>7633.7890428048358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146"/>
      <c r="B116" s="131" t="s">
        <v>233</v>
      </c>
      <c r="C116" s="132">
        <f>SUM(C114:C115)</f>
        <v>8457</v>
      </c>
      <c r="D116" s="12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>
        <v>4</v>
      </c>
      <c r="B117" s="105" t="s">
        <v>188</v>
      </c>
      <c r="C117" s="106">
        <v>8699</v>
      </c>
      <c r="D117" s="107" t="s">
        <v>235</v>
      </c>
      <c r="E117" s="108"/>
      <c r="F117" s="109">
        <f>C117*F2</f>
        <v>81280.698755641701</v>
      </c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8" t="s">
        <v>35</v>
      </c>
      <c r="B118" s="375"/>
      <c r="C118" s="106">
        <f>SUM(C108,C112,C116:C117)</f>
        <v>30682</v>
      </c>
      <c r="D118" s="147"/>
      <c r="E118" s="108"/>
      <c r="F118" s="115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04"/>
      <c r="B119" s="114"/>
      <c r="C119" s="106"/>
      <c r="D119" s="147"/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396" t="s">
        <v>236</v>
      </c>
      <c r="B120" s="374"/>
      <c r="C120" s="374"/>
      <c r="D120" s="397"/>
      <c r="E120" s="116"/>
      <c r="F120" s="117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18" t="s">
        <v>131</v>
      </c>
      <c r="B121" s="105" t="s">
        <v>34</v>
      </c>
      <c r="C121" s="106" t="s">
        <v>162</v>
      </c>
      <c r="D121" s="119" t="s">
        <v>133</v>
      </c>
      <c r="E121" s="108"/>
      <c r="F121" s="115"/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>
        <v>1</v>
      </c>
      <c r="B122" s="105" t="s">
        <v>169</v>
      </c>
      <c r="C122" s="106">
        <v>5637</v>
      </c>
      <c r="D122" s="107" t="s">
        <v>234</v>
      </c>
      <c r="E122" s="108"/>
      <c r="F122" s="109"/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170</v>
      </c>
      <c r="C123" s="126">
        <f>1600</f>
        <v>1600</v>
      </c>
      <c r="D123" s="127" t="s">
        <v>237</v>
      </c>
      <c r="E123" s="108"/>
      <c r="F123" s="109">
        <f>C123*F2</f>
        <v>14949.892862286091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3" t="s">
        <v>238</v>
      </c>
      <c r="C124" s="126">
        <v>987</v>
      </c>
      <c r="D124" s="127" t="s">
        <v>239</v>
      </c>
      <c r="E124" s="108"/>
      <c r="F124" s="109">
        <f>C124*F2</f>
        <v>9222.2151594227325</v>
      </c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/>
      <c r="B125" s="133" t="s">
        <v>173</v>
      </c>
      <c r="C125" s="126">
        <v>3050</v>
      </c>
      <c r="D125" s="127" t="s">
        <v>240</v>
      </c>
      <c r="E125" s="108"/>
      <c r="F125" s="109">
        <f>C125*F2</f>
        <v>28498.233268732864</v>
      </c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1" t="s">
        <v>175</v>
      </c>
      <c r="C126" s="132">
        <f>SUM(C123:C125)</f>
        <v>5637</v>
      </c>
      <c r="D126" s="127"/>
      <c r="E126" s="108"/>
      <c r="F126" s="115"/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>
        <v>2</v>
      </c>
      <c r="B127" s="105" t="s">
        <v>176</v>
      </c>
      <c r="C127" s="106">
        <v>11425</v>
      </c>
      <c r="D127" s="107" t="s">
        <v>241</v>
      </c>
      <c r="E127" s="108"/>
      <c r="F127" s="109"/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3">
        <v>2.1</v>
      </c>
      <c r="C128" s="106">
        <v>5712</v>
      </c>
      <c r="D128" s="107" t="s">
        <v>242</v>
      </c>
      <c r="E128" s="108"/>
      <c r="F128" s="109">
        <f>C128*F2</f>
        <v>53371.117518361345</v>
      </c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/>
      <c r="B129" s="133">
        <v>2.2000000000000002</v>
      </c>
      <c r="C129" s="106">
        <v>5713</v>
      </c>
      <c r="D129" s="107" t="s">
        <v>243</v>
      </c>
      <c r="E129" s="108"/>
      <c r="F129" s="109">
        <f>C129*F2</f>
        <v>53380.461201400278</v>
      </c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31" t="s">
        <v>175</v>
      </c>
      <c r="C130" s="136">
        <f>SUM(C128:C129)</f>
        <v>11425</v>
      </c>
      <c r="D130" s="107"/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>
        <v>3</v>
      </c>
      <c r="B131" s="105" t="s">
        <v>178</v>
      </c>
      <c r="C131" s="106">
        <f>8457</f>
        <v>8457</v>
      </c>
      <c r="D131" s="107" t="s">
        <v>244</v>
      </c>
      <c r="E131" s="108"/>
      <c r="F131" s="109"/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>
        <v>3.1</v>
      </c>
      <c r="C132" s="126">
        <f>4957</f>
        <v>4957</v>
      </c>
      <c r="D132" s="107" t="s">
        <v>245</v>
      </c>
      <c r="E132" s="108"/>
      <c r="F132" s="109"/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246</v>
      </c>
      <c r="C133" s="126">
        <v>1239</v>
      </c>
      <c r="D133" s="107" t="s">
        <v>247</v>
      </c>
      <c r="E133" s="108"/>
      <c r="F133" s="109">
        <f>C133*F2</f>
        <v>11576.823285232793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248</v>
      </c>
      <c r="C134" s="126">
        <v>1240</v>
      </c>
      <c r="D134" s="107" t="s">
        <v>249</v>
      </c>
      <c r="E134" s="108"/>
      <c r="F134" s="109">
        <f>C134*F2</f>
        <v>11586.16696827172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25" t="s">
        <v>250</v>
      </c>
      <c r="C135" s="126">
        <v>1239</v>
      </c>
      <c r="D135" s="107" t="s">
        <v>251</v>
      </c>
      <c r="E135" s="108"/>
      <c r="F135" s="109">
        <f>C135*F2</f>
        <v>11576.823285232793</v>
      </c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 t="s">
        <v>252</v>
      </c>
      <c r="C136" s="126">
        <v>1239</v>
      </c>
      <c r="D136" s="107" t="s">
        <v>253</v>
      </c>
      <c r="E136" s="108"/>
      <c r="F136" s="109">
        <f>C136*F2</f>
        <v>11576.823285232793</v>
      </c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31" t="s">
        <v>175</v>
      </c>
      <c r="C137" s="132">
        <f>SUM(C133:C136)</f>
        <v>4957</v>
      </c>
      <c r="D137" s="107"/>
      <c r="E137" s="108"/>
      <c r="F137" s="109"/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>
        <v>3.2</v>
      </c>
      <c r="C138" s="126">
        <f>3500</f>
        <v>3500</v>
      </c>
      <c r="D138" s="107" t="s">
        <v>254</v>
      </c>
      <c r="E138" s="108"/>
      <c r="F138" s="109"/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255</v>
      </c>
      <c r="C139" s="126">
        <v>800</v>
      </c>
      <c r="D139" s="107" t="s">
        <v>256</v>
      </c>
      <c r="E139" s="108"/>
      <c r="F139" s="109">
        <f>C139*F2</f>
        <v>7474.9464311430456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257</v>
      </c>
      <c r="C140" s="126">
        <v>800</v>
      </c>
      <c r="D140" s="107" t="s">
        <v>258</v>
      </c>
      <c r="E140" s="108"/>
      <c r="F140" s="109">
        <f>C140*F2</f>
        <v>7474.9464311430456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25" t="s">
        <v>259</v>
      </c>
      <c r="C141" s="126">
        <v>1100</v>
      </c>
      <c r="D141" s="107" t="s">
        <v>260</v>
      </c>
      <c r="E141" s="108"/>
      <c r="F141" s="109">
        <f>C141*F2</f>
        <v>10278.051342821687</v>
      </c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/>
      <c r="B142" s="125" t="s">
        <v>261</v>
      </c>
      <c r="C142" s="126">
        <v>800</v>
      </c>
      <c r="D142" s="107" t="s">
        <v>262</v>
      </c>
      <c r="E142" s="108"/>
      <c r="F142" s="109">
        <f>C142*F2</f>
        <v>7474.9464311430456</v>
      </c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31" t="s">
        <v>175</v>
      </c>
      <c r="C143" s="132">
        <f>SUM(C139:C142)</f>
        <v>3500</v>
      </c>
      <c r="D143" s="107"/>
      <c r="E143" s="108"/>
      <c r="F143" s="115"/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>
        <v>4</v>
      </c>
      <c r="B144" s="105" t="s">
        <v>188</v>
      </c>
      <c r="C144" s="106">
        <v>8699</v>
      </c>
      <c r="D144" s="107" t="s">
        <v>142</v>
      </c>
      <c r="E144" s="108"/>
      <c r="F144" s="109"/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4.0999999999999996</v>
      </c>
      <c r="C145" s="126">
        <f>4623</f>
        <v>4623</v>
      </c>
      <c r="D145" s="127" t="s">
        <v>263</v>
      </c>
      <c r="E145" s="108"/>
      <c r="F145" s="109">
        <f>C145*F2</f>
        <v>43195.846688967875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25">
        <v>4.2</v>
      </c>
      <c r="C146" s="126">
        <f>3906-2009</f>
        <v>1897</v>
      </c>
      <c r="D146" s="127" t="s">
        <v>264</v>
      </c>
      <c r="E146" s="108"/>
      <c r="F146" s="109">
        <f>C146*F2</f>
        <v>17724.966724847949</v>
      </c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104"/>
      <c r="B147" s="125">
        <v>4.3</v>
      </c>
      <c r="C147" s="126">
        <f>2179</f>
        <v>2179</v>
      </c>
      <c r="D147" s="127" t="s">
        <v>265</v>
      </c>
      <c r="E147" s="108"/>
      <c r="F147" s="109">
        <f>C147*F2</f>
        <v>20359.88534182587</v>
      </c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 t="s">
        <v>175</v>
      </c>
      <c r="C148" s="132">
        <f>SUM(C145:C147)</f>
        <v>8699</v>
      </c>
      <c r="D148" s="107"/>
      <c r="E148" s="108"/>
      <c r="F148" s="109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8" t="s">
        <v>35</v>
      </c>
      <c r="B149" s="375"/>
      <c r="C149" s="106">
        <f>SUM(C126,C130,C137,C143,C148)</f>
        <v>34218</v>
      </c>
      <c r="D149" s="107"/>
      <c r="E149" s="108"/>
      <c r="F149" s="115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04"/>
      <c r="B150" s="131"/>
      <c r="C150" s="132"/>
      <c r="D150" s="127"/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396" t="s">
        <v>266</v>
      </c>
      <c r="B151" s="374"/>
      <c r="C151" s="374"/>
      <c r="D151" s="397"/>
      <c r="E151" s="116"/>
      <c r="F151" s="117"/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18" t="s">
        <v>131</v>
      </c>
      <c r="B152" s="105" t="s">
        <v>34</v>
      </c>
      <c r="C152" s="106" t="s">
        <v>162</v>
      </c>
      <c r="D152" s="119" t="s">
        <v>133</v>
      </c>
      <c r="E152" s="108"/>
      <c r="F152" s="115"/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1</v>
      </c>
      <c r="B153" s="138" t="s">
        <v>169</v>
      </c>
      <c r="C153" s="139">
        <f>5637</f>
        <v>5637</v>
      </c>
      <c r="D153" s="140" t="s">
        <v>265</v>
      </c>
      <c r="E153" s="108"/>
      <c r="F153" s="109">
        <f>C153*F2</f>
        <v>52670.341290441684</v>
      </c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37">
        <v>2</v>
      </c>
      <c r="B154" s="138" t="s">
        <v>176</v>
      </c>
      <c r="C154" s="139">
        <v>11425</v>
      </c>
      <c r="D154" s="140" t="s">
        <v>267</v>
      </c>
      <c r="E154" s="108"/>
      <c r="F154" s="109">
        <f>C154*F2</f>
        <v>106751.57871976163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37">
        <v>3</v>
      </c>
      <c r="B155" s="138" t="s">
        <v>178</v>
      </c>
      <c r="C155" s="139">
        <v>8457</v>
      </c>
      <c r="D155" s="140" t="s">
        <v>268</v>
      </c>
      <c r="E155" s="108"/>
      <c r="F155" s="109"/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43">
        <v>3.1</v>
      </c>
      <c r="C156" s="142">
        <f>2951-1014</f>
        <v>1937</v>
      </c>
      <c r="D156" s="144" t="s">
        <v>263</v>
      </c>
      <c r="E156" s="108"/>
      <c r="F156" s="109">
        <f>C156*F2</f>
        <v>18098.714046405101</v>
      </c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48"/>
      <c r="B157" s="143">
        <v>3.3</v>
      </c>
      <c r="C157" s="142">
        <f>4789+717+1014</f>
        <v>6520</v>
      </c>
      <c r="D157" s="144" t="s">
        <v>265</v>
      </c>
      <c r="E157" s="108"/>
      <c r="F157" s="109">
        <f>C157*F2</f>
        <v>60920.81341381582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148"/>
      <c r="B158" s="131" t="s">
        <v>175</v>
      </c>
      <c r="C158" s="132">
        <f>SUM(C156:C157)</f>
        <v>8457</v>
      </c>
      <c r="D158" s="144"/>
      <c r="E158" s="108"/>
      <c r="F158" s="115"/>
      <c r="G158" s="112"/>
      <c r="H158" s="113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3">
      <c r="A159" s="137">
        <v>4</v>
      </c>
      <c r="B159" s="138" t="s">
        <v>188</v>
      </c>
      <c r="C159" s="139">
        <v>8699</v>
      </c>
      <c r="D159" s="140" t="s">
        <v>269</v>
      </c>
      <c r="E159" s="108"/>
      <c r="F159" s="109">
        <f>C159*F2</f>
        <v>81280.698755641701</v>
      </c>
      <c r="G159" s="112"/>
      <c r="H159" s="113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3">
      <c r="A160" s="407" t="s">
        <v>35</v>
      </c>
      <c r="B160" s="395"/>
      <c r="C160" s="149">
        <v>34218</v>
      </c>
      <c r="D160" s="150"/>
      <c r="E160" s="151"/>
      <c r="F160" s="152"/>
      <c r="G160" s="153"/>
      <c r="H160" s="154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5">
      <c r="A161" s="408"/>
      <c r="B161" s="409" t="s">
        <v>270</v>
      </c>
      <c r="C161" s="400">
        <f>C160+C149+C118+C104+C88+C65+C52+C44+C26+C22+C13</f>
        <v>490749</v>
      </c>
      <c r="D161" s="402"/>
      <c r="E161" s="404" t="s">
        <v>271</v>
      </c>
      <c r="F161" s="405">
        <f>SUM(F5:F160)</f>
        <v>4065314.7071344499</v>
      </c>
      <c r="G161" s="391"/>
      <c r="H161" s="392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 spans="1:26" ht="15.75" customHeight="1" x14ac:dyDescent="0.25">
      <c r="A162" s="406"/>
      <c r="B162" s="406"/>
      <c r="C162" s="401"/>
      <c r="D162" s="403"/>
      <c r="E162" s="403"/>
      <c r="F162" s="406"/>
      <c r="G162" s="388"/>
      <c r="H162" s="390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 spans="1:26" ht="15.75" customHeight="1" x14ac:dyDescent="0.3">
      <c r="A163" s="95"/>
      <c r="B163" s="95"/>
      <c r="C163" s="95"/>
      <c r="D163" s="156"/>
      <c r="E163" s="95"/>
      <c r="F163" s="157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159"/>
      <c r="D165" s="156"/>
      <c r="E165" s="95"/>
      <c r="F165" s="160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3">
      <c r="A360" s="95"/>
      <c r="B360" s="95"/>
      <c r="C360" s="95"/>
      <c r="D360" s="156"/>
      <c r="E360" s="95"/>
      <c r="F360" s="157"/>
      <c r="G360" s="158"/>
      <c r="H360" s="158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3">
      <c r="A361" s="95"/>
      <c r="B361" s="95"/>
      <c r="C361" s="95"/>
      <c r="D361" s="156"/>
      <c r="E361" s="95"/>
      <c r="F361" s="157"/>
      <c r="G361" s="158"/>
      <c r="H361" s="158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61:G162"/>
    <mergeCell ref="H161:H162"/>
    <mergeCell ref="A118:B118"/>
    <mergeCell ref="A120:D120"/>
    <mergeCell ref="A149:B149"/>
    <mergeCell ref="A151:D151"/>
    <mergeCell ref="A160:B160"/>
    <mergeCell ref="A161:A162"/>
    <mergeCell ref="B161:B162"/>
    <mergeCell ref="A106:D106"/>
    <mergeCell ref="C161:C162"/>
    <mergeCell ref="D161:D162"/>
    <mergeCell ref="E161:E162"/>
    <mergeCell ref="F161:F162"/>
    <mergeCell ref="A65:B65"/>
    <mergeCell ref="A67:D67"/>
    <mergeCell ref="A88:B88"/>
    <mergeCell ref="A90:D90"/>
    <mergeCell ref="A104:B104"/>
    <mergeCell ref="A29:D29"/>
    <mergeCell ref="A44:B44"/>
    <mergeCell ref="A46:D46"/>
    <mergeCell ref="A54:D54"/>
    <mergeCell ref="A52:B52"/>
    <mergeCell ref="H2:H3"/>
    <mergeCell ref="A3:D3"/>
    <mergeCell ref="A14:D14"/>
    <mergeCell ref="A22:B22"/>
    <mergeCell ref="A24:D24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7.42578125" customWidth="1"/>
    <col min="4" max="4" width="16" customWidth="1"/>
    <col min="5" max="5" width="16.28515625" customWidth="1"/>
    <col min="6" max="6" width="7.7109375" customWidth="1"/>
    <col min="7" max="7" width="17.42578125" customWidth="1"/>
    <col min="8" max="8" width="17.7109375" customWidth="1"/>
    <col min="9" max="9" width="22" customWidth="1"/>
    <col min="10" max="10" width="16.140625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494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7.5322790876802594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495</v>
      </c>
      <c r="C6" s="184">
        <f>276200+77500+50000</f>
        <v>403700</v>
      </c>
      <c r="D6" s="185">
        <f>C6/D3</f>
        <v>0.82262011741236352</v>
      </c>
      <c r="E6" s="186"/>
      <c r="F6" s="187"/>
      <c r="G6" s="188">
        <f>G4*D6</f>
        <v>137833.29115291114</v>
      </c>
      <c r="H6" s="189">
        <f>H4*D6</f>
        <v>265866.70884708886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496</v>
      </c>
      <c r="C7" s="184">
        <f>437458+6461</f>
        <v>443919</v>
      </c>
      <c r="D7" s="185">
        <f>C7/D3</f>
        <v>0.90457443621892253</v>
      </c>
      <c r="E7" s="191">
        <f>C7*(D29)</f>
        <v>143912.14782213239</v>
      </c>
      <c r="F7" s="192">
        <f>E7/D3</f>
        <v>0.29325000727893974</v>
      </c>
      <c r="G7" s="188">
        <f>F7*G4</f>
        <v>49135.211719615472</v>
      </c>
      <c r="H7" s="189">
        <f t="shared" ref="H7:H8" si="0">C7-G7</f>
        <v>394783.7882803845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497</v>
      </c>
      <c r="C8" s="184">
        <v>414000</v>
      </c>
      <c r="D8" s="185">
        <f>C8/D3</f>
        <v>0.84360844342015984</v>
      </c>
      <c r="E8" s="191">
        <f>C8*D28</f>
        <v>283125.39907327306</v>
      </c>
      <c r="F8" s="192">
        <f>E8/D3</f>
        <v>0.57692506571235613</v>
      </c>
      <c r="G8" s="193">
        <f>F8*G4</f>
        <v>96666.102460368114</v>
      </c>
      <c r="H8" s="189">
        <f t="shared" si="0"/>
        <v>317333.89753963187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498</v>
      </c>
      <c r="C9" s="184">
        <v>728782.43</v>
      </c>
      <c r="D9" s="185">
        <f>C9/D3</f>
        <v>1.4850410902518396</v>
      </c>
      <c r="E9" s="186"/>
      <c r="F9" s="187"/>
      <c r="G9" s="188">
        <f>G4*D9</f>
        <v>248824.57483605674</v>
      </c>
      <c r="H9" s="189">
        <f>H4*D9</f>
        <v>479957.85516394331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499</v>
      </c>
      <c r="C10" s="184">
        <f>C46-(C11)</f>
        <v>368050</v>
      </c>
      <c r="D10" s="185">
        <f>C10/D3</f>
        <v>0.74997605700673864</v>
      </c>
      <c r="E10" s="186"/>
      <c r="F10" s="187"/>
      <c r="G10" s="188">
        <f>D10*G4</f>
        <v>125661.48825570708</v>
      </c>
      <c r="H10" s="189">
        <f t="shared" ref="H10:H15" si="1">C10-G10</f>
        <v>242388.51174429292</v>
      </c>
      <c r="I10" s="68"/>
      <c r="J10" s="68"/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43</v>
      </c>
      <c r="C11" s="184">
        <f>C40</f>
        <v>29341</v>
      </c>
      <c r="D11" s="185">
        <f>C11/D3</f>
        <v>5.9788201300461134E-2</v>
      </c>
      <c r="E11" s="186"/>
      <c r="F11" s="187"/>
      <c r="G11" s="188">
        <v>0</v>
      </c>
      <c r="H11" s="189">
        <f t="shared" si="1"/>
        <v>29341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500</v>
      </c>
      <c r="C12" s="184">
        <f>C49</f>
        <v>57124</v>
      </c>
      <c r="D12" s="185">
        <f>C12/D3</f>
        <v>0.11640166357954881</v>
      </c>
      <c r="E12" s="191">
        <f>C12*D28</f>
        <v>39065.834049907367</v>
      </c>
      <c r="F12" s="192">
        <f>E12/D3</f>
        <v>7.96045107578566E-2</v>
      </c>
      <c r="G12" s="188">
        <f>F12*G4</f>
        <v>13338.054195521905</v>
      </c>
      <c r="H12" s="189">
        <f t="shared" si="1"/>
        <v>43785.945804478091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84">
        <f>C50+C51+C52+C53</f>
        <v>400425</v>
      </c>
      <c r="D13" s="185">
        <f>C13/D3</f>
        <v>0.81594664482250601</v>
      </c>
      <c r="E13" s="191"/>
      <c r="F13" s="192"/>
      <c r="G13" s="188">
        <v>0</v>
      </c>
      <c r="H13" s="189">
        <f t="shared" si="1"/>
        <v>400425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501</v>
      </c>
      <c r="C14" s="195">
        <f>C76</f>
        <v>624688</v>
      </c>
      <c r="D14" s="196">
        <f>C14/D3</f>
        <v>1.2729277084619632</v>
      </c>
      <c r="E14" s="191">
        <f>C14*(D29)</f>
        <v>202514.85473411196</v>
      </c>
      <c r="F14" s="192">
        <f>E14/D3</f>
        <v>0.41266483423116901</v>
      </c>
      <c r="G14" s="188">
        <f>F14*G4</f>
        <v>69143.643634769294</v>
      </c>
      <c r="H14" s="189">
        <f t="shared" si="1"/>
        <v>555544.35636523075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502</v>
      </c>
      <c r="C15" s="184">
        <v>0</v>
      </c>
      <c r="D15" s="185">
        <f>C15/D3</f>
        <v>0</v>
      </c>
      <c r="E15" s="186"/>
      <c r="F15" s="187"/>
      <c r="G15" s="188">
        <f>G4*D15</f>
        <v>0</v>
      </c>
      <c r="H15" s="189">
        <f t="shared" si="1"/>
        <v>0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84261.115297663899</v>
      </c>
      <c r="D16" s="185"/>
      <c r="E16" s="186"/>
      <c r="F16" s="187"/>
      <c r="G16" s="188"/>
      <c r="H16" s="189">
        <f>C16</f>
        <v>84261.115297663899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503</v>
      </c>
      <c r="C17" s="184">
        <f>C71</f>
        <v>171429</v>
      </c>
      <c r="D17" s="185">
        <f>C17/D3</f>
        <v>0.34932113972723328</v>
      </c>
      <c r="E17" s="186"/>
      <c r="F17" s="187"/>
      <c r="G17" s="188">
        <f>D17*G4</f>
        <v>58530.154245856844</v>
      </c>
      <c r="H17" s="189">
        <f t="shared" ref="H17:H18" si="2">C17-G17</f>
        <v>112898.84575414316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504</v>
      </c>
      <c r="C18" s="318">
        <f>C83</f>
        <v>55000</v>
      </c>
      <c r="D18" s="319">
        <f>C18/D3</f>
        <v>0.11207358547852364</v>
      </c>
      <c r="E18" s="202"/>
      <c r="F18" s="203"/>
      <c r="G18" s="204">
        <f>D18*G4</f>
        <v>18778.37754126855</v>
      </c>
      <c r="H18" s="205">
        <f t="shared" si="2"/>
        <v>36221.62245873145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3780719.5452976641</v>
      </c>
      <c r="D19" s="268"/>
      <c r="E19" s="269"/>
      <c r="F19" s="270"/>
      <c r="G19" s="271">
        <f t="shared" ref="G19:H19" si="3">SUM(G6:G18)</f>
        <v>817910.89804207499</v>
      </c>
      <c r="H19" s="272">
        <f t="shared" si="3"/>
        <v>2962808.6472555893</v>
      </c>
      <c r="I19" s="214"/>
      <c r="J19" s="250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4">C20-G20</f>
        <v>0</v>
      </c>
      <c r="I20" s="68"/>
      <c r="J20" s="250"/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4"/>
        <v>323195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4271468.5452976637</v>
      </c>
      <c r="D22" s="282"/>
      <c r="E22" s="283"/>
      <c r="F22" s="284"/>
      <c r="G22" s="285">
        <f t="shared" ref="G22:H22" si="5">G19+G20+G21</f>
        <v>985464.89804207499</v>
      </c>
      <c r="H22" s="286">
        <f t="shared" si="5"/>
        <v>3286003.6472555893</v>
      </c>
      <c r="I22" s="68"/>
      <c r="J22" s="250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8.7039780932771418</v>
      </c>
      <c r="D23" s="290"/>
      <c r="E23" s="291"/>
      <c r="F23" s="292"/>
      <c r="G23" s="295">
        <f>(G19+G20+G21)/G4</f>
        <v>5.8814764078570194</v>
      </c>
      <c r="H23" s="294">
        <f>(H20+H21+H19)/H4</f>
        <v>10.167247783089433</v>
      </c>
      <c r="I23" s="68"/>
      <c r="J23" s="197"/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5.7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20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230</v>
      </c>
      <c r="D33" s="192">
        <v>366.35267520723437</v>
      </c>
      <c r="E33" s="310">
        <f>C33*D33</f>
        <v>84261.115297663899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341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5000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505</v>
      </c>
      <c r="C39" s="310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5</v>
      </c>
      <c r="B40" s="187" t="s">
        <v>383</v>
      </c>
      <c r="C40" s="310">
        <v>29341</v>
      </c>
      <c r="D40" s="68" t="s">
        <v>384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6</v>
      </c>
      <c r="B41" s="187" t="s">
        <v>409</v>
      </c>
      <c r="C41" s="310">
        <v>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54">
        <v>7</v>
      </c>
      <c r="B42" s="187" t="s">
        <v>410</v>
      </c>
      <c r="C42" s="310">
        <v>64050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54">
        <v>8</v>
      </c>
      <c r="B43" s="187" t="s">
        <v>453</v>
      </c>
      <c r="C43" s="310">
        <v>0</v>
      </c>
      <c r="D43" s="68" t="s">
        <v>384</v>
      </c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54">
        <v>9</v>
      </c>
      <c r="B44" s="187" t="s">
        <v>506</v>
      </c>
      <c r="C44" s="310">
        <f>24000*7</f>
        <v>168000</v>
      </c>
      <c r="D44" s="68" t="s">
        <v>507</v>
      </c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254"/>
      <c r="B45" s="187"/>
      <c r="C45" s="310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61"/>
      <c r="B46" s="311" t="s">
        <v>35</v>
      </c>
      <c r="C46" s="312">
        <f>SUM(C36:C44)</f>
        <v>397391</v>
      </c>
      <c r="D46" s="68"/>
      <c r="E46" s="214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2.75" customHeight="1" x14ac:dyDescent="0.25">
      <c r="A47" s="249"/>
      <c r="B47" s="68"/>
      <c r="C47" s="68"/>
      <c r="D47" s="68"/>
      <c r="E47" s="214"/>
      <c r="F47" s="68"/>
      <c r="G47" s="214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2.75" customHeight="1" x14ac:dyDescent="0.25">
      <c r="A48" s="261" t="s">
        <v>298</v>
      </c>
      <c r="B48" s="261" t="s">
        <v>472</v>
      </c>
      <c r="C48" s="261" t="s">
        <v>309</v>
      </c>
      <c r="D48" s="68"/>
      <c r="E48" s="214"/>
      <c r="F48" s="68"/>
      <c r="G48" s="214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2.75" customHeight="1" x14ac:dyDescent="0.25">
      <c r="A49" s="254">
        <v>1</v>
      </c>
      <c r="B49" s="187" t="s">
        <v>473</v>
      </c>
      <c r="C49" s="310">
        <v>57124</v>
      </c>
      <c r="D49" s="68"/>
      <c r="E49" s="214"/>
      <c r="F49" s="68"/>
      <c r="G49" s="214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2.75" customHeight="1" x14ac:dyDescent="0.25">
      <c r="A50" s="254">
        <v>2</v>
      </c>
      <c r="B50" s="187" t="s">
        <v>508</v>
      </c>
      <c r="C50" s="310">
        <f>1500+340</f>
        <v>1840</v>
      </c>
      <c r="D50" s="68" t="s">
        <v>384</v>
      </c>
      <c r="E50" s="214"/>
      <c r="F50" s="68"/>
      <c r="G50" s="214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2.75" customHeight="1" x14ac:dyDescent="0.25">
      <c r="A51" s="254">
        <v>3</v>
      </c>
      <c r="B51" s="187" t="s">
        <v>509</v>
      </c>
      <c r="C51" s="310">
        <v>346385</v>
      </c>
      <c r="D51" s="68" t="s">
        <v>384</v>
      </c>
      <c r="E51" s="214"/>
      <c r="F51" s="68"/>
      <c r="G51" s="214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2.75" customHeight="1" x14ac:dyDescent="0.25">
      <c r="A52" s="254">
        <v>4</v>
      </c>
      <c r="B52" s="187" t="s">
        <v>510</v>
      </c>
      <c r="C52" s="310">
        <v>20000</v>
      </c>
      <c r="D52" s="68" t="s">
        <v>384</v>
      </c>
      <c r="E52" s="214"/>
      <c r="F52" s="68"/>
      <c r="G52" s="214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3.5" customHeight="1" x14ac:dyDescent="0.25">
      <c r="A53" s="254">
        <v>5</v>
      </c>
      <c r="B53" s="187" t="s">
        <v>511</v>
      </c>
      <c r="C53" s="310">
        <v>32200</v>
      </c>
      <c r="D53" s="68" t="s">
        <v>384</v>
      </c>
      <c r="E53" s="214"/>
      <c r="F53" s="68"/>
      <c r="G53" s="214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3.5" customHeight="1" x14ac:dyDescent="0.25">
      <c r="A54" s="261"/>
      <c r="B54" s="311" t="s">
        <v>35</v>
      </c>
      <c r="C54" s="312">
        <f>SUM(C49:C53)</f>
        <v>457549</v>
      </c>
      <c r="D54" s="68"/>
      <c r="E54" s="214"/>
      <c r="F54" s="68"/>
      <c r="G54" s="214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49"/>
      <c r="B55" s="68"/>
      <c r="C55" s="68"/>
      <c r="D55" s="68"/>
      <c r="E55" s="214"/>
      <c r="F55" s="68"/>
      <c r="G55" s="214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61" t="s">
        <v>298</v>
      </c>
      <c r="B56" s="261" t="s">
        <v>122</v>
      </c>
      <c r="C56" s="261" t="s">
        <v>309</v>
      </c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54">
        <v>1</v>
      </c>
      <c r="B57" s="187" t="s">
        <v>512</v>
      </c>
      <c r="C57" s="310">
        <v>45365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54">
        <v>2</v>
      </c>
      <c r="B58" s="187" t="s">
        <v>513</v>
      </c>
      <c r="C58" s="310">
        <v>42284</v>
      </c>
      <c r="D58" s="68"/>
      <c r="E58" s="68"/>
      <c r="F58" s="68"/>
      <c r="G58" s="329"/>
      <c r="H58" s="329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54">
        <v>3</v>
      </c>
      <c r="B59" s="187" t="s">
        <v>514</v>
      </c>
      <c r="C59" s="310">
        <v>440</v>
      </c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4</v>
      </c>
      <c r="B60" s="187" t="s">
        <v>515</v>
      </c>
      <c r="C60" s="310">
        <v>83340</v>
      </c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54">
        <v>5</v>
      </c>
      <c r="B61" s="187"/>
      <c r="C61" s="310">
        <v>0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54">
        <v>6</v>
      </c>
      <c r="B62" s="187"/>
      <c r="C62" s="310">
        <v>0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>
        <v>7</v>
      </c>
      <c r="B63" s="187"/>
      <c r="C63" s="310">
        <v>0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54">
        <v>8</v>
      </c>
      <c r="B64" s="187"/>
      <c r="C64" s="310">
        <v>0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54">
        <v>9</v>
      </c>
      <c r="B65" s="187"/>
      <c r="C65" s="310">
        <v>0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54">
        <v>10</v>
      </c>
      <c r="B66" s="187"/>
      <c r="C66" s="310">
        <v>0</v>
      </c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54">
        <v>11</v>
      </c>
      <c r="B67" s="187"/>
      <c r="C67" s="310">
        <v>0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54">
        <v>12</v>
      </c>
      <c r="B68" s="187"/>
      <c r="C68" s="310">
        <v>0</v>
      </c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54"/>
      <c r="B69" s="187"/>
      <c r="C69" s="310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54"/>
      <c r="B70" s="187"/>
      <c r="C70" s="310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61"/>
      <c r="B71" s="311" t="s">
        <v>35</v>
      </c>
      <c r="C71" s="312">
        <f>SUM(C57:C70)</f>
        <v>171429</v>
      </c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61" t="s">
        <v>298</v>
      </c>
      <c r="B73" s="313" t="s">
        <v>349</v>
      </c>
      <c r="C73" s="261" t="s">
        <v>309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54">
        <v>1</v>
      </c>
      <c r="B74" s="187" t="s">
        <v>516</v>
      </c>
      <c r="C74" s="195">
        <v>20308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54">
        <v>2</v>
      </c>
      <c r="B75" s="187" t="s">
        <v>516</v>
      </c>
      <c r="C75" s="310">
        <v>604380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61"/>
      <c r="B76" s="311" t="s">
        <v>35</v>
      </c>
      <c r="C76" s="312">
        <f>SUM(C74:C75)</f>
        <v>624688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49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61" t="s">
        <v>298</v>
      </c>
      <c r="B78" s="328" t="s">
        <v>274</v>
      </c>
      <c r="C78" s="261" t="s">
        <v>309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3">
      <c r="A79" s="254">
        <v>1</v>
      </c>
      <c r="B79" s="187" t="s">
        <v>517</v>
      </c>
      <c r="C79" s="322">
        <v>1100000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3">
      <c r="A80" s="254">
        <v>2</v>
      </c>
      <c r="B80" s="187"/>
      <c r="C80" s="322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61"/>
      <c r="B81" s="311" t="s">
        <v>518</v>
      </c>
      <c r="C81" s="312">
        <v>55000</v>
      </c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54"/>
      <c r="B82" s="311"/>
      <c r="C82" s="311">
        <f>C80/3</f>
        <v>0</v>
      </c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54"/>
      <c r="B83" s="187"/>
      <c r="C83" s="327">
        <f>SUM(C81:C82)</f>
        <v>55000</v>
      </c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>
        <v>1100000</v>
      </c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>
        <f>C86/20</f>
        <v>55000</v>
      </c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3.5" customHeight="1" x14ac:dyDescent="0.25">
      <c r="A278" s="249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62"/>
      <c r="U278" s="162"/>
      <c r="V278" s="162"/>
      <c r="W278" s="162"/>
      <c r="X278" s="162"/>
      <c r="Y278" s="162"/>
      <c r="Z278" s="162"/>
    </row>
    <row r="279" spans="1:26" ht="13.5" customHeight="1" x14ac:dyDescent="0.25">
      <c r="A279" s="249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162"/>
      <c r="U279" s="162"/>
      <c r="V279" s="162"/>
      <c r="W279" s="162"/>
      <c r="X279" s="162"/>
      <c r="Y279" s="162"/>
      <c r="Z279" s="162"/>
    </row>
    <row r="280" spans="1:26" ht="13.5" customHeight="1" x14ac:dyDescent="0.25">
      <c r="A280" s="249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162"/>
      <c r="U280" s="162"/>
      <c r="V280" s="162"/>
      <c r="W280" s="162"/>
      <c r="X280" s="162"/>
      <c r="Y280" s="162"/>
      <c r="Z280" s="162"/>
    </row>
    <row r="281" spans="1:26" ht="13.5" customHeight="1" x14ac:dyDescent="0.25">
      <c r="A281" s="249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162"/>
      <c r="U281" s="162"/>
      <c r="V281" s="162"/>
      <c r="W281" s="162"/>
      <c r="X281" s="162"/>
      <c r="Y281" s="162"/>
      <c r="Z281" s="162"/>
    </row>
    <row r="282" spans="1:26" ht="13.5" customHeight="1" x14ac:dyDescent="0.25">
      <c r="A282" s="249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162"/>
      <c r="U282" s="162"/>
      <c r="V282" s="162"/>
      <c r="W282" s="162"/>
      <c r="X282" s="162"/>
      <c r="Y282" s="162"/>
      <c r="Z282" s="162"/>
    </row>
    <row r="283" spans="1:26" ht="13.5" customHeight="1" x14ac:dyDescent="0.25">
      <c r="A283" s="249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162"/>
      <c r="U283" s="162"/>
      <c r="V283" s="162"/>
      <c r="W283" s="162"/>
      <c r="X283" s="162"/>
      <c r="Y283" s="162"/>
      <c r="Z283" s="162"/>
    </row>
    <row r="284" spans="1:26" ht="13.5" customHeight="1" x14ac:dyDescent="0.25">
      <c r="A284" s="249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162"/>
      <c r="U284" s="162"/>
      <c r="V284" s="162"/>
      <c r="W284" s="162"/>
      <c r="X284" s="162"/>
      <c r="Y284" s="162"/>
      <c r="Z284" s="162"/>
    </row>
    <row r="285" spans="1:26" ht="13.5" customHeight="1" x14ac:dyDescent="0.25">
      <c r="A285" s="249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162"/>
      <c r="U285" s="162"/>
      <c r="V285" s="162"/>
      <c r="W285" s="162"/>
      <c r="X285" s="162"/>
      <c r="Y285" s="162"/>
      <c r="Z285" s="162"/>
    </row>
    <row r="286" spans="1:26" ht="13.5" customHeight="1" x14ac:dyDescent="0.25">
      <c r="A286" s="249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162"/>
      <c r="U286" s="162"/>
      <c r="V286" s="162"/>
      <c r="W286" s="162"/>
      <c r="X286" s="162"/>
      <c r="Y286" s="162"/>
      <c r="Z286" s="162"/>
    </row>
    <row r="287" spans="1:26" ht="13.5" customHeight="1" x14ac:dyDescent="0.25">
      <c r="A287" s="249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162"/>
      <c r="U287" s="162"/>
      <c r="V287" s="162"/>
      <c r="W287" s="162"/>
      <c r="X287" s="162"/>
      <c r="Y287" s="162"/>
      <c r="Z287" s="162"/>
    </row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dataValidations count="1">
    <dataValidation type="list" allowBlank="1" showErrorMessage="1" sqref="I14" xr:uid="{00000000-0002-0000-2500-000000000000}">
      <formula1>"Percentage basis,SFT basis"</formula1>
    </dataValidation>
  </dataValidations>
  <pageMargins left="0.7" right="0.7" top="0.75" bottom="0.75" header="0" footer="0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1000"/>
  <sheetViews>
    <sheetView workbookViewId="0"/>
  </sheetViews>
  <sheetFormatPr defaultColWidth="14.42578125" defaultRowHeight="15" customHeight="1" x14ac:dyDescent="0.25"/>
  <cols>
    <col min="1" max="1" width="5.85546875" customWidth="1"/>
    <col min="2" max="2" width="22.5703125" customWidth="1"/>
    <col min="3" max="3" width="11.5703125" customWidth="1"/>
    <col min="4" max="4" width="44.28515625" customWidth="1"/>
    <col min="5" max="5" width="27" customWidth="1"/>
    <col min="6" max="6" width="15.42578125" customWidth="1"/>
    <col min="7" max="7" width="10.5703125" customWidth="1"/>
    <col min="8" max="8" width="11.5703125" customWidth="1"/>
    <col min="9" max="26" width="12.42578125" customWidth="1"/>
  </cols>
  <sheetData>
    <row r="1" spans="1:26" x14ac:dyDescent="0.25">
      <c r="A1" s="381" t="s">
        <v>519</v>
      </c>
      <c r="B1" s="382"/>
      <c r="C1" s="382"/>
      <c r="D1" s="382"/>
      <c r="E1" s="382"/>
      <c r="F1" s="383"/>
      <c r="G1" s="93"/>
      <c r="H1" s="94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5">
      <c r="A2" s="384" t="s">
        <v>128</v>
      </c>
      <c r="B2" s="385"/>
      <c r="C2" s="385"/>
      <c r="D2" s="386"/>
      <c r="E2" s="387" t="s">
        <v>129</v>
      </c>
      <c r="F2" s="389">
        <f>'CAM-Nov`24'!H23</f>
        <v>10.167247783089433</v>
      </c>
      <c r="G2" s="391"/>
      <c r="H2" s="392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5">
      <c r="A3" s="393" t="s">
        <v>130</v>
      </c>
      <c r="B3" s="394"/>
      <c r="C3" s="394"/>
      <c r="D3" s="395"/>
      <c r="E3" s="388"/>
      <c r="F3" s="390"/>
      <c r="G3" s="388"/>
      <c r="H3" s="390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5.5" x14ac:dyDescent="0.25">
      <c r="A4" s="96" t="s">
        <v>131</v>
      </c>
      <c r="B4" s="97" t="s">
        <v>34</v>
      </c>
      <c r="C4" s="98" t="s">
        <v>132</v>
      </c>
      <c r="D4" s="99" t="s">
        <v>133</v>
      </c>
      <c r="E4" s="100" t="s">
        <v>134</v>
      </c>
      <c r="F4" s="101" t="s">
        <v>135</v>
      </c>
      <c r="G4" s="102" t="s">
        <v>136</v>
      </c>
      <c r="H4" s="103" t="s">
        <v>137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x14ac:dyDescent="0.3">
      <c r="A5" s="104">
        <v>1</v>
      </c>
      <c r="B5" s="105" t="s">
        <v>138</v>
      </c>
      <c r="C5" s="106">
        <f>3311</f>
        <v>3311</v>
      </c>
      <c r="D5" s="107" t="s">
        <v>139</v>
      </c>
      <c r="E5" s="108" t="s">
        <v>140</v>
      </c>
      <c r="F5" s="109">
        <f>(C5)*F2</f>
        <v>33663.757409809114</v>
      </c>
      <c r="G5" s="110">
        <f>C5*65%</f>
        <v>2152.15</v>
      </c>
      <c r="H5" s="111">
        <f>F5/G5</f>
        <v>15.641919666291436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x14ac:dyDescent="0.3">
      <c r="A6" s="104">
        <v>2</v>
      </c>
      <c r="B6" s="105" t="s">
        <v>141</v>
      </c>
      <c r="C6" s="106">
        <f>3816</f>
        <v>3816</v>
      </c>
      <c r="D6" s="107" t="s">
        <v>142</v>
      </c>
      <c r="E6" s="108" t="s">
        <v>143</v>
      </c>
      <c r="F6" s="109">
        <f>C6*F2</f>
        <v>38798.217540269274</v>
      </c>
      <c r="G6" s="112"/>
      <c r="H6" s="113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0" x14ac:dyDescent="0.3">
      <c r="A7" s="104">
        <v>3</v>
      </c>
      <c r="B7" s="105" t="s">
        <v>144</v>
      </c>
      <c r="C7" s="106">
        <v>3814</v>
      </c>
      <c r="D7" s="107" t="s">
        <v>145</v>
      </c>
      <c r="E7" s="108" t="s">
        <v>146</v>
      </c>
      <c r="F7" s="109">
        <f>C7*F2</f>
        <v>38777.8830447031</v>
      </c>
      <c r="G7" s="112"/>
      <c r="H7" s="113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x14ac:dyDescent="0.3">
      <c r="A8" s="104">
        <v>4</v>
      </c>
      <c r="B8" s="105" t="s">
        <v>147</v>
      </c>
      <c r="C8" s="106">
        <f>3648</f>
        <v>3648</v>
      </c>
      <c r="D8" s="107" t="s">
        <v>148</v>
      </c>
      <c r="E8" s="108" t="s">
        <v>149</v>
      </c>
      <c r="F8" s="109">
        <f>C8*F2</f>
        <v>37090.119912710252</v>
      </c>
      <c r="G8" s="112"/>
      <c r="H8" s="11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5.5" x14ac:dyDescent="0.3">
      <c r="A9" s="104">
        <v>5</v>
      </c>
      <c r="B9" s="105" t="s">
        <v>150</v>
      </c>
      <c r="C9" s="106">
        <f>3436</f>
        <v>3436</v>
      </c>
      <c r="D9" s="107" t="s">
        <v>151</v>
      </c>
      <c r="E9" s="108" t="s">
        <v>149</v>
      </c>
      <c r="F9" s="109">
        <f>C9*F2</f>
        <v>34934.663382695289</v>
      </c>
      <c r="G9" s="112"/>
      <c r="H9" s="1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x14ac:dyDescent="0.3">
      <c r="A10" s="104">
        <v>6</v>
      </c>
      <c r="B10" s="105" t="s">
        <v>152</v>
      </c>
      <c r="C10" s="106">
        <f>2723</f>
        <v>2723</v>
      </c>
      <c r="D10" s="107" t="s">
        <v>153</v>
      </c>
      <c r="E10" s="108" t="s">
        <v>149</v>
      </c>
      <c r="F10" s="109">
        <f>C10*F2</f>
        <v>27685.415713352526</v>
      </c>
      <c r="G10" s="112"/>
      <c r="H10" s="1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x14ac:dyDescent="0.3">
      <c r="A11" s="104">
        <v>7</v>
      </c>
      <c r="B11" s="105" t="s">
        <v>154</v>
      </c>
      <c r="C11" s="106">
        <f>1381</f>
        <v>1381</v>
      </c>
      <c r="D11" s="107" t="s">
        <v>155</v>
      </c>
      <c r="E11" s="108" t="s">
        <v>156</v>
      </c>
      <c r="F11" s="109">
        <f>C11*F2</f>
        <v>14040.969188446506</v>
      </c>
      <c r="G11" s="112"/>
      <c r="H11" s="1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x14ac:dyDescent="0.3">
      <c r="A12" s="104">
        <v>8</v>
      </c>
      <c r="B12" s="105" t="s">
        <v>157</v>
      </c>
      <c r="C12" s="106">
        <f>755</f>
        <v>755</v>
      </c>
      <c r="D12" s="107" t="s">
        <v>158</v>
      </c>
      <c r="E12" s="108" t="s">
        <v>156</v>
      </c>
      <c r="F12" s="109">
        <f>C12*F2</f>
        <v>7676.2720762325216</v>
      </c>
      <c r="G12" s="112"/>
      <c r="H12" s="113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x14ac:dyDescent="0.3">
      <c r="A13" s="104"/>
      <c r="B13" s="114"/>
      <c r="C13" s="106">
        <f>SUM(C5:C12)</f>
        <v>22884</v>
      </c>
      <c r="D13" s="107"/>
      <c r="E13" s="108"/>
      <c r="F13" s="115"/>
      <c r="G13" s="112"/>
      <c r="H13" s="11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x14ac:dyDescent="0.3">
      <c r="A14" s="396" t="s">
        <v>159</v>
      </c>
      <c r="B14" s="374"/>
      <c r="C14" s="374"/>
      <c r="D14" s="397"/>
      <c r="E14" s="116"/>
      <c r="F14" s="117"/>
      <c r="G14" s="112"/>
      <c r="H14" s="113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5.5" x14ac:dyDescent="0.3">
      <c r="A15" s="118" t="s">
        <v>131</v>
      </c>
      <c r="B15" s="105" t="s">
        <v>34</v>
      </c>
      <c r="C15" s="106" t="s">
        <v>162</v>
      </c>
      <c r="D15" s="119" t="s">
        <v>133</v>
      </c>
      <c r="E15" s="108"/>
      <c r="F15" s="115"/>
      <c r="G15" s="112"/>
      <c r="H15" s="1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x14ac:dyDescent="0.3">
      <c r="A16" s="104">
        <v>1</v>
      </c>
      <c r="B16" s="105" t="s">
        <v>490</v>
      </c>
      <c r="C16" s="106">
        <v>3214</v>
      </c>
      <c r="D16" s="107" t="s">
        <v>163</v>
      </c>
      <c r="E16" s="108"/>
      <c r="F16" s="109">
        <f>C16*F2</f>
        <v>32677.534374849438</v>
      </c>
      <c r="G16" s="112"/>
      <c r="H16" s="1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x14ac:dyDescent="0.3">
      <c r="A17" s="104">
        <v>2</v>
      </c>
      <c r="B17" s="105" t="s">
        <v>491</v>
      </c>
      <c r="C17" s="106">
        <v>3511</v>
      </c>
      <c r="D17" s="107" t="s">
        <v>163</v>
      </c>
      <c r="E17" s="108"/>
      <c r="F17" s="109">
        <f>C17*F2</f>
        <v>35697.206966427002</v>
      </c>
      <c r="G17" s="112"/>
      <c r="H17" s="1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x14ac:dyDescent="0.3">
      <c r="A18" s="104">
        <v>3</v>
      </c>
      <c r="B18" s="105" t="s">
        <v>141</v>
      </c>
      <c r="C18" s="106">
        <f>7686</f>
        <v>7686</v>
      </c>
      <c r="D18" s="107" t="s">
        <v>163</v>
      </c>
      <c r="E18" s="108"/>
      <c r="F18" s="109">
        <f>C18*F2</f>
        <v>78145.466460825381</v>
      </c>
      <c r="G18" s="112"/>
      <c r="H18" s="113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x14ac:dyDescent="0.3">
      <c r="A19" s="104">
        <v>4</v>
      </c>
      <c r="B19" s="105" t="s">
        <v>492</v>
      </c>
      <c r="C19" s="106">
        <v>4755</v>
      </c>
      <c r="D19" s="107" t="s">
        <v>164</v>
      </c>
      <c r="E19" s="108"/>
      <c r="F19" s="109">
        <f>C19*F2</f>
        <v>48345.263208590251</v>
      </c>
      <c r="G19" s="112"/>
      <c r="H19" s="113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x14ac:dyDescent="0.3">
      <c r="A20" s="104">
        <v>5</v>
      </c>
      <c r="B20" s="105" t="s">
        <v>493</v>
      </c>
      <c r="C20" s="106">
        <v>4959</v>
      </c>
      <c r="D20" s="107" t="s">
        <v>164</v>
      </c>
      <c r="E20" s="108"/>
      <c r="F20" s="109">
        <f>C20*F2</f>
        <v>50419.381756340495</v>
      </c>
      <c r="G20" s="112"/>
      <c r="H20" s="113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3">
      <c r="A21" s="104">
        <v>6</v>
      </c>
      <c r="B21" s="105" t="s">
        <v>147</v>
      </c>
      <c r="C21" s="106">
        <f>9514</f>
        <v>9514</v>
      </c>
      <c r="D21" s="107" t="s">
        <v>142</v>
      </c>
      <c r="E21" s="108"/>
      <c r="F21" s="109">
        <f>C21*F2</f>
        <v>96731.195408312866</v>
      </c>
      <c r="G21" s="112"/>
      <c r="H21" s="120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3">
      <c r="A22" s="398" t="s">
        <v>35</v>
      </c>
      <c r="B22" s="375"/>
      <c r="C22" s="106">
        <f>C16+C17+C18+C19+C20+C21</f>
        <v>33639</v>
      </c>
      <c r="D22" s="107"/>
      <c r="E22" s="108"/>
      <c r="F22" s="115"/>
      <c r="G22" s="112"/>
      <c r="H22" s="113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3">
      <c r="A23" s="104"/>
      <c r="B23" s="122"/>
      <c r="C23" s="123"/>
      <c r="D23" s="107"/>
      <c r="E23" s="108"/>
      <c r="F23" s="115"/>
      <c r="G23" s="112"/>
      <c r="H23" s="12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3">
      <c r="A24" s="396" t="s">
        <v>165</v>
      </c>
      <c r="B24" s="374"/>
      <c r="C24" s="374"/>
      <c r="D24" s="397"/>
      <c r="E24" s="116"/>
      <c r="F24" s="117"/>
      <c r="G24" s="112"/>
      <c r="H24" s="120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3">
      <c r="A25" s="118" t="s">
        <v>131</v>
      </c>
      <c r="B25" s="105" t="s">
        <v>34</v>
      </c>
      <c r="C25" s="106" t="s">
        <v>162</v>
      </c>
      <c r="D25" s="119" t="s">
        <v>133</v>
      </c>
      <c r="E25" s="108"/>
      <c r="F25" s="124"/>
      <c r="G25" s="112"/>
      <c r="H25" s="120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3">
      <c r="A26" s="104">
        <v>1</v>
      </c>
      <c r="B26" s="105" t="s">
        <v>166</v>
      </c>
      <c r="C26" s="106">
        <v>167554</v>
      </c>
      <c r="D26" s="107" t="s">
        <v>167</v>
      </c>
      <c r="E26" s="108"/>
      <c r="F26" s="109">
        <f>C26*'CAM-Nov`24'!G23</f>
        <v>985464.89804207499</v>
      </c>
      <c r="G26" s="112"/>
      <c r="H26" s="113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3">
      <c r="A27" s="104"/>
      <c r="B27" s="114"/>
      <c r="C27" s="106"/>
      <c r="D27" s="107"/>
      <c r="E27" s="108"/>
      <c r="F27" s="115"/>
      <c r="G27" s="112"/>
      <c r="H27" s="1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3">
      <c r="A28" s="104"/>
      <c r="B28" s="114"/>
      <c r="C28" s="106"/>
      <c r="D28" s="107"/>
      <c r="E28" s="108"/>
      <c r="F28" s="115"/>
      <c r="G28" s="112"/>
      <c r="H28" s="1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3">
      <c r="A29" s="396" t="s">
        <v>168</v>
      </c>
      <c r="B29" s="374"/>
      <c r="C29" s="374"/>
      <c r="D29" s="397"/>
      <c r="E29" s="116"/>
      <c r="F29" s="117"/>
      <c r="G29" s="112"/>
      <c r="H29" s="1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3">
      <c r="A30" s="118" t="s">
        <v>131</v>
      </c>
      <c r="B30" s="105" t="s">
        <v>34</v>
      </c>
      <c r="C30" s="106" t="s">
        <v>162</v>
      </c>
      <c r="D30" s="119" t="s">
        <v>133</v>
      </c>
      <c r="E30" s="108"/>
      <c r="F30" s="320"/>
      <c r="G30" s="112"/>
      <c r="H30" s="11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3">
      <c r="A31" s="104">
        <v>1</v>
      </c>
      <c r="B31" s="105" t="s">
        <v>169</v>
      </c>
      <c r="C31" s="106">
        <v>5637</v>
      </c>
      <c r="D31" s="107" t="s">
        <v>163</v>
      </c>
      <c r="E31" s="108"/>
      <c r="F31" s="321"/>
      <c r="G31" s="112"/>
      <c r="H31" s="113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3">
      <c r="A32" s="104"/>
      <c r="B32" s="125" t="s">
        <v>170</v>
      </c>
      <c r="C32" s="126">
        <v>2000</v>
      </c>
      <c r="D32" s="127" t="s">
        <v>171</v>
      </c>
      <c r="E32" s="108"/>
      <c r="F32" s="321">
        <f>C32*F2</f>
        <v>20334.495566178866</v>
      </c>
      <c r="G32" s="112"/>
      <c r="H32" s="113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3">
      <c r="A33" s="104"/>
      <c r="B33" s="125" t="s">
        <v>172</v>
      </c>
      <c r="C33" s="126">
        <f>587</f>
        <v>587</v>
      </c>
      <c r="D33" s="129" t="s">
        <v>163</v>
      </c>
      <c r="E33" s="108"/>
      <c r="F33" s="321">
        <f>C33*F2</f>
        <v>5968.174448673497</v>
      </c>
      <c r="G33" s="112"/>
      <c r="H33" s="1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3">
      <c r="A34" s="104"/>
      <c r="B34" s="125" t="s">
        <v>173</v>
      </c>
      <c r="C34" s="126">
        <f>3050</f>
        <v>3050</v>
      </c>
      <c r="D34" s="129" t="s">
        <v>174</v>
      </c>
      <c r="E34" s="108"/>
      <c r="F34" s="321">
        <f>C34*F2</f>
        <v>31010.105738422772</v>
      </c>
      <c r="G34" s="112"/>
      <c r="H34" s="1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3">
      <c r="A35" s="104"/>
      <c r="B35" s="131" t="s">
        <v>175</v>
      </c>
      <c r="C35" s="132">
        <f>SUM(C32:C34)</f>
        <v>5637</v>
      </c>
      <c r="D35" s="127"/>
      <c r="E35" s="108"/>
      <c r="F35" s="321"/>
      <c r="G35" s="112"/>
      <c r="H35" s="1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3">
      <c r="A36" s="104">
        <v>2</v>
      </c>
      <c r="B36" s="105" t="s">
        <v>176</v>
      </c>
      <c r="C36" s="106">
        <v>11425</v>
      </c>
      <c r="D36" s="107" t="s">
        <v>177</v>
      </c>
      <c r="E36" s="108"/>
      <c r="F36" s="321">
        <f>C36*F2</f>
        <v>116160.80592179677</v>
      </c>
      <c r="G36" s="112"/>
      <c r="H36" s="113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3">
      <c r="A37" s="104">
        <v>3</v>
      </c>
      <c r="B37" s="105" t="s">
        <v>178</v>
      </c>
      <c r="C37" s="106">
        <f>8457</f>
        <v>8457</v>
      </c>
      <c r="D37" s="107" t="s">
        <v>179</v>
      </c>
      <c r="E37" s="108"/>
      <c r="F37" s="321"/>
      <c r="G37" s="112"/>
      <c r="H37" s="113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3">
      <c r="A38" s="104"/>
      <c r="B38" s="133" t="s">
        <v>180</v>
      </c>
      <c r="C38" s="126">
        <v>2156</v>
      </c>
      <c r="D38" s="127" t="s">
        <v>181</v>
      </c>
      <c r="E38" s="108"/>
      <c r="F38" s="321">
        <f>C38*F2</f>
        <v>21920.586220340818</v>
      </c>
      <c r="G38" s="112"/>
      <c r="H38" s="113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3">
      <c r="A39" s="104"/>
      <c r="B39" s="133" t="s">
        <v>182</v>
      </c>
      <c r="C39" s="126">
        <f>2073</f>
        <v>2073</v>
      </c>
      <c r="D39" s="127" t="s">
        <v>183</v>
      </c>
      <c r="E39" s="108"/>
      <c r="F39" s="321">
        <f>C39*F2</f>
        <v>21076.704654344394</v>
      </c>
      <c r="G39" s="112"/>
      <c r="H39" s="1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3">
      <c r="A40" s="104"/>
      <c r="B40" s="133" t="s">
        <v>184</v>
      </c>
      <c r="C40" s="126">
        <f>2927</f>
        <v>2927</v>
      </c>
      <c r="D40" s="127" t="s">
        <v>185</v>
      </c>
      <c r="E40" s="108"/>
      <c r="F40" s="321">
        <f>C40*F2</f>
        <v>29759.53426110277</v>
      </c>
      <c r="G40" s="112"/>
      <c r="H40" s="1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3">
      <c r="A41" s="104"/>
      <c r="B41" s="133" t="s">
        <v>186</v>
      </c>
      <c r="C41" s="126">
        <f>1301</f>
        <v>1301</v>
      </c>
      <c r="D41" s="127" t="s">
        <v>187</v>
      </c>
      <c r="E41" s="108"/>
      <c r="F41" s="321">
        <f>C41*F2</f>
        <v>13227.589365799353</v>
      </c>
      <c r="G41" s="112"/>
      <c r="H41" s="1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3">
      <c r="A42" s="104"/>
      <c r="B42" s="131" t="s">
        <v>175</v>
      </c>
      <c r="C42" s="132">
        <f>SUM(C38:C41)</f>
        <v>8457</v>
      </c>
      <c r="D42" s="107"/>
      <c r="E42" s="108"/>
      <c r="F42" s="321"/>
      <c r="G42" s="112"/>
      <c r="H42" s="113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3">
      <c r="A43" s="104">
        <v>4</v>
      </c>
      <c r="B43" s="105" t="s">
        <v>188</v>
      </c>
      <c r="C43" s="106">
        <v>8699</v>
      </c>
      <c r="D43" s="107" t="s">
        <v>187</v>
      </c>
      <c r="E43" s="108"/>
      <c r="F43" s="321">
        <f>C43*F2</f>
        <v>88444.888465094977</v>
      </c>
      <c r="G43" s="112"/>
      <c r="H43" s="113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3">
      <c r="A44" s="398" t="s">
        <v>35</v>
      </c>
      <c r="B44" s="375"/>
      <c r="C44" s="106">
        <f>SUM(C31,C36,C37,C43)</f>
        <v>34218</v>
      </c>
      <c r="D44" s="107"/>
      <c r="E44" s="108"/>
      <c r="F44" s="321"/>
      <c r="G44" s="112"/>
      <c r="H44" s="113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3">
      <c r="A45" s="104"/>
      <c r="B45" s="114"/>
      <c r="C45" s="106"/>
      <c r="D45" s="107"/>
      <c r="E45" s="108"/>
      <c r="F45" s="320"/>
      <c r="G45" s="112"/>
      <c r="H45" s="1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3">
      <c r="A46" s="396" t="s">
        <v>189</v>
      </c>
      <c r="B46" s="374"/>
      <c r="C46" s="374"/>
      <c r="D46" s="397"/>
      <c r="E46" s="116"/>
      <c r="F46" s="117"/>
      <c r="G46" s="112"/>
      <c r="H46" s="1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3">
      <c r="A47" s="118" t="s">
        <v>131</v>
      </c>
      <c r="B47" s="105" t="s">
        <v>34</v>
      </c>
      <c r="C47" s="106" t="s">
        <v>162</v>
      </c>
      <c r="D47" s="119" t="s">
        <v>133</v>
      </c>
      <c r="E47" s="108"/>
      <c r="F47" s="115"/>
      <c r="G47" s="112"/>
      <c r="H47" s="1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3">
      <c r="A48" s="104">
        <v>1</v>
      </c>
      <c r="B48" s="105" t="s">
        <v>169</v>
      </c>
      <c r="C48" s="106">
        <f>2101</f>
        <v>2101</v>
      </c>
      <c r="D48" s="107" t="s">
        <v>190</v>
      </c>
      <c r="E48" s="108"/>
      <c r="F48" s="109">
        <f>C48*F2</f>
        <v>21361.387592270898</v>
      </c>
      <c r="G48" s="112"/>
      <c r="H48" s="113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3">
      <c r="A49" s="104">
        <v>2</v>
      </c>
      <c r="B49" s="105" t="s">
        <v>176</v>
      </c>
      <c r="C49" s="106">
        <v>11425</v>
      </c>
      <c r="D49" s="107" t="s">
        <v>190</v>
      </c>
      <c r="E49" s="108"/>
      <c r="F49" s="109">
        <f>C49*F2</f>
        <v>116160.80592179677</v>
      </c>
      <c r="G49" s="112"/>
      <c r="H49" s="11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3">
      <c r="A50" s="104">
        <v>3</v>
      </c>
      <c r="B50" s="105" t="s">
        <v>178</v>
      </c>
      <c r="C50" s="106">
        <f>8457</f>
        <v>8457</v>
      </c>
      <c r="D50" s="107" t="s">
        <v>190</v>
      </c>
      <c r="E50" s="108"/>
      <c r="F50" s="109">
        <f>C50*F2</f>
        <v>85984.414501587336</v>
      </c>
      <c r="G50" s="112"/>
      <c r="H50" s="113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3">
      <c r="A51" s="104">
        <v>4</v>
      </c>
      <c r="B51" s="105" t="s">
        <v>188</v>
      </c>
      <c r="C51" s="106">
        <v>8699</v>
      </c>
      <c r="D51" s="107" t="s">
        <v>190</v>
      </c>
      <c r="E51" s="108"/>
      <c r="F51" s="109">
        <f>C51*F2</f>
        <v>88444.888465094977</v>
      </c>
      <c r="G51" s="112"/>
      <c r="H51" s="1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3">
      <c r="A52" s="398" t="s">
        <v>35</v>
      </c>
      <c r="B52" s="375"/>
      <c r="C52" s="106">
        <f>SUM(C48:C51)</f>
        <v>30682</v>
      </c>
      <c r="D52" s="107"/>
      <c r="E52" s="108"/>
      <c r="F52" s="115"/>
      <c r="G52" s="112"/>
      <c r="H52" s="1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3">
      <c r="A53" s="104"/>
      <c r="B53" s="114"/>
      <c r="C53" s="106"/>
      <c r="D53" s="107"/>
      <c r="E53" s="108"/>
      <c r="F53" s="115"/>
      <c r="G53" s="112"/>
      <c r="H53" s="1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3">
      <c r="A54" s="396" t="s">
        <v>191</v>
      </c>
      <c r="B54" s="374"/>
      <c r="C54" s="374"/>
      <c r="D54" s="397"/>
      <c r="E54" s="116"/>
      <c r="F54" s="117"/>
      <c r="G54" s="112"/>
      <c r="H54" s="113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3">
      <c r="A55" s="118" t="s">
        <v>131</v>
      </c>
      <c r="B55" s="105" t="s">
        <v>34</v>
      </c>
      <c r="C55" s="106" t="s">
        <v>162</v>
      </c>
      <c r="D55" s="119" t="s">
        <v>133</v>
      </c>
      <c r="E55" s="108"/>
      <c r="F55" s="115"/>
      <c r="G55" s="112"/>
      <c r="H55" s="113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3">
      <c r="A56" s="104">
        <v>1</v>
      </c>
      <c r="B56" s="105" t="s">
        <v>169</v>
      </c>
      <c r="C56" s="106">
        <v>5637</v>
      </c>
      <c r="D56" s="107" t="s">
        <v>192</v>
      </c>
      <c r="E56" s="108"/>
      <c r="F56" s="109">
        <f>C56*F2</f>
        <v>57312.775753275135</v>
      </c>
      <c r="G56" s="112"/>
      <c r="H56" s="113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3">
      <c r="A57" s="104">
        <v>2</v>
      </c>
      <c r="B57" s="105" t="s">
        <v>176</v>
      </c>
      <c r="C57" s="106">
        <v>11425</v>
      </c>
      <c r="D57" s="107" t="s">
        <v>192</v>
      </c>
      <c r="E57" s="108"/>
      <c r="F57" s="109">
        <f>C57*F2</f>
        <v>116160.80592179677</v>
      </c>
      <c r="G57" s="112"/>
      <c r="H57" s="113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3">
      <c r="A58" s="104">
        <v>3</v>
      </c>
      <c r="B58" s="105" t="s">
        <v>178</v>
      </c>
      <c r="C58" s="106">
        <f>8457</f>
        <v>8457</v>
      </c>
      <c r="D58" s="107" t="s">
        <v>193</v>
      </c>
      <c r="E58" s="108"/>
      <c r="F58" s="109"/>
      <c r="G58" s="112"/>
      <c r="H58" s="1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3">
      <c r="A59" s="104"/>
      <c r="B59" s="125">
        <v>3.1</v>
      </c>
      <c r="C59" s="126">
        <f>3957</f>
        <v>3957</v>
      </c>
      <c r="D59" s="127" t="s">
        <v>194</v>
      </c>
      <c r="E59" s="108"/>
      <c r="F59" s="321">
        <f>C59*F2</f>
        <v>40231.799477684886</v>
      </c>
      <c r="G59" s="112"/>
      <c r="H59" s="1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3">
      <c r="A60" s="104"/>
      <c r="B60" s="125">
        <v>3.2</v>
      </c>
      <c r="C60" s="126">
        <f t="shared" ref="C60:C62" si="0">1500</f>
        <v>1500</v>
      </c>
      <c r="D60" s="127" t="s">
        <v>195</v>
      </c>
      <c r="E60" s="108"/>
      <c r="F60" s="321">
        <f>C60*F2</f>
        <v>15250.871674634149</v>
      </c>
      <c r="G60" s="112"/>
      <c r="H60" s="113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3">
      <c r="A61" s="104"/>
      <c r="B61" s="125">
        <v>3.3</v>
      </c>
      <c r="C61" s="126">
        <f t="shared" si="0"/>
        <v>1500</v>
      </c>
      <c r="D61" s="127" t="s">
        <v>196</v>
      </c>
      <c r="E61" s="108"/>
      <c r="F61" s="321">
        <f>C61*F2</f>
        <v>15250.871674634149</v>
      </c>
      <c r="G61" s="112"/>
      <c r="H61" s="113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3">
      <c r="A62" s="104"/>
      <c r="B62" s="125">
        <v>3.4</v>
      </c>
      <c r="C62" s="126">
        <f t="shared" si="0"/>
        <v>1500</v>
      </c>
      <c r="D62" s="127" t="s">
        <v>197</v>
      </c>
      <c r="E62" s="108"/>
      <c r="F62" s="321">
        <f>C62*F2</f>
        <v>15250.871674634149</v>
      </c>
      <c r="G62" s="112"/>
      <c r="H62" s="113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3">
      <c r="A63" s="104"/>
      <c r="B63" s="131" t="s">
        <v>175</v>
      </c>
      <c r="C63" s="132">
        <f>SUM(C59:C62)</f>
        <v>8457</v>
      </c>
      <c r="D63" s="107"/>
      <c r="E63" s="108"/>
      <c r="F63" s="109"/>
      <c r="G63" s="112"/>
      <c r="H63" s="113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3">
      <c r="A64" s="104">
        <v>4</v>
      </c>
      <c r="B64" s="105" t="s">
        <v>188</v>
      </c>
      <c r="C64" s="106">
        <v>8699</v>
      </c>
      <c r="D64" s="107" t="s">
        <v>198</v>
      </c>
      <c r="E64" s="108"/>
      <c r="F64" s="109">
        <f>C64*F2</f>
        <v>88444.888465094977</v>
      </c>
      <c r="G64" s="112"/>
      <c r="H64" s="1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3">
      <c r="A65" s="398" t="s">
        <v>35</v>
      </c>
      <c r="B65" s="375"/>
      <c r="C65" s="106">
        <f>SUM(C56:C58,C64)</f>
        <v>34218</v>
      </c>
      <c r="D65" s="107"/>
      <c r="E65" s="108"/>
      <c r="F65" s="109"/>
      <c r="G65" s="112"/>
      <c r="H65" s="1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3">
      <c r="A66" s="104"/>
      <c r="B66" s="114"/>
      <c r="C66" s="106"/>
      <c r="D66" s="107"/>
      <c r="E66" s="108"/>
      <c r="F66" s="109"/>
      <c r="G66" s="112"/>
      <c r="H66" s="113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3">
      <c r="A67" s="396" t="s">
        <v>199</v>
      </c>
      <c r="B67" s="374"/>
      <c r="C67" s="374"/>
      <c r="D67" s="397"/>
      <c r="E67" s="116"/>
      <c r="F67" s="117"/>
      <c r="G67" s="112"/>
      <c r="H67" s="113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3">
      <c r="A68" s="118" t="s">
        <v>131</v>
      </c>
      <c r="B68" s="105" t="s">
        <v>34</v>
      </c>
      <c r="C68" s="106" t="s">
        <v>162</v>
      </c>
      <c r="D68" s="119" t="s">
        <v>133</v>
      </c>
      <c r="E68" s="108"/>
      <c r="F68" s="115"/>
      <c r="G68" s="112"/>
      <c r="H68" s="113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3">
      <c r="A69" s="104">
        <v>1</v>
      </c>
      <c r="B69" s="105" t="s">
        <v>169</v>
      </c>
      <c r="C69" s="106">
        <v>5637</v>
      </c>
      <c r="D69" s="107" t="s">
        <v>200</v>
      </c>
      <c r="E69" s="108" t="s">
        <v>201</v>
      </c>
      <c r="F69" s="109">
        <f>C69*F2</f>
        <v>57312.775753275135</v>
      </c>
      <c r="G69" s="112"/>
      <c r="H69" s="113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3">
      <c r="A70" s="104">
        <v>2</v>
      </c>
      <c r="B70" s="105" t="s">
        <v>176</v>
      </c>
      <c r="C70" s="106">
        <v>11425</v>
      </c>
      <c r="D70" s="107" t="s">
        <v>163</v>
      </c>
      <c r="E70" s="108"/>
      <c r="F70" s="109"/>
      <c r="G70" s="112"/>
      <c r="H70" s="1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3">
      <c r="A71" s="104"/>
      <c r="B71" s="125">
        <v>2.1</v>
      </c>
      <c r="C71" s="126">
        <v>3000</v>
      </c>
      <c r="D71" s="129" t="s">
        <v>202</v>
      </c>
      <c r="E71" s="108"/>
      <c r="F71" s="109">
        <f>C71*F2</f>
        <v>30501.743349268298</v>
      </c>
      <c r="G71" s="112"/>
      <c r="H71" s="1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3">
      <c r="A72" s="104"/>
      <c r="B72" s="125">
        <v>2.2000000000000002</v>
      </c>
      <c r="C72" s="126">
        <v>1000</v>
      </c>
      <c r="D72" s="129" t="s">
        <v>203</v>
      </c>
      <c r="E72" s="108"/>
      <c r="F72" s="109">
        <f>C72*F2</f>
        <v>10167.247783089433</v>
      </c>
      <c r="G72" s="112"/>
      <c r="H72" s="113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3">
      <c r="A73" s="104"/>
      <c r="B73" s="125">
        <v>2.2999999999999998</v>
      </c>
      <c r="C73" s="126">
        <f>3925-1000+500</f>
        <v>3425</v>
      </c>
      <c r="D73" s="129" t="s">
        <v>204</v>
      </c>
      <c r="E73" s="108"/>
      <c r="F73" s="109">
        <f>C73*F2</f>
        <v>34822.82365708131</v>
      </c>
      <c r="G73" s="112"/>
      <c r="H73" s="113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3">
      <c r="A74" s="104"/>
      <c r="B74" s="125">
        <v>2.4</v>
      </c>
      <c r="C74" s="126">
        <v>1000</v>
      </c>
      <c r="D74" s="129" t="s">
        <v>205</v>
      </c>
      <c r="E74" s="108"/>
      <c r="F74" s="109">
        <f>C74*F2</f>
        <v>10167.247783089433</v>
      </c>
      <c r="G74" s="135"/>
      <c r="H74" s="113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3">
      <c r="A75" s="104"/>
      <c r="B75" s="125">
        <v>2.5</v>
      </c>
      <c r="C75" s="126">
        <v>2000</v>
      </c>
      <c r="D75" s="129" t="s">
        <v>206</v>
      </c>
      <c r="E75" s="108"/>
      <c r="F75" s="109">
        <f>C75*F2</f>
        <v>20334.495566178866</v>
      </c>
      <c r="G75" s="112"/>
      <c r="H75" s="113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3">
      <c r="A76" s="104"/>
      <c r="B76" s="125">
        <v>2.6</v>
      </c>
      <c r="C76" s="126">
        <v>1000</v>
      </c>
      <c r="D76" s="129" t="s">
        <v>207</v>
      </c>
      <c r="E76" s="108"/>
      <c r="F76" s="109">
        <f>C76*F2</f>
        <v>10167.247783089433</v>
      </c>
      <c r="G76" s="112"/>
      <c r="H76" s="1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3">
      <c r="A77" s="104"/>
      <c r="B77" s="131" t="s">
        <v>175</v>
      </c>
      <c r="C77" s="132">
        <f>SUM(C71:C76)</f>
        <v>11425</v>
      </c>
      <c r="D77" s="127"/>
      <c r="E77" s="108"/>
      <c r="F77" s="115"/>
      <c r="G77" s="112"/>
      <c r="H77" s="1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3">
      <c r="A78" s="104">
        <v>3</v>
      </c>
      <c r="B78" s="105" t="s">
        <v>178</v>
      </c>
      <c r="C78" s="106">
        <f>8457</f>
        <v>8457</v>
      </c>
      <c r="D78" s="107" t="s">
        <v>208</v>
      </c>
      <c r="E78" s="108"/>
      <c r="F78" s="109"/>
      <c r="G78" s="112"/>
      <c r="H78" s="113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3">
      <c r="A79" s="104"/>
      <c r="B79" s="125">
        <v>3.1</v>
      </c>
      <c r="C79" s="106">
        <v>2300</v>
      </c>
      <c r="D79" s="107" t="s">
        <v>209</v>
      </c>
      <c r="E79" s="108"/>
      <c r="F79" s="109">
        <f>C79*F2</f>
        <v>23384.669901105695</v>
      </c>
      <c r="G79" s="112"/>
      <c r="H79" s="113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3">
      <c r="A80" s="104"/>
      <c r="B80" s="125">
        <v>3.2</v>
      </c>
      <c r="C80" s="106">
        <v>1000</v>
      </c>
      <c r="D80" s="107" t="s">
        <v>210</v>
      </c>
      <c r="E80" s="108"/>
      <c r="F80" s="109">
        <f>C80*F2</f>
        <v>10167.247783089433</v>
      </c>
      <c r="G80" s="112"/>
      <c r="H80" s="113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3">
      <c r="A81" s="104"/>
      <c r="B81" s="125">
        <v>3.3</v>
      </c>
      <c r="C81" s="106">
        <v>1153</v>
      </c>
      <c r="D81" s="107" t="s">
        <v>211</v>
      </c>
      <c r="E81" s="108"/>
      <c r="F81" s="109">
        <f>C81*F2</f>
        <v>11722.836693902116</v>
      </c>
      <c r="G81" s="112"/>
      <c r="H81" s="113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3">
      <c r="A82" s="104"/>
      <c r="B82" s="125">
        <v>3.4</v>
      </c>
      <c r="C82" s="106">
        <v>1152</v>
      </c>
      <c r="D82" s="107" t="s">
        <v>212</v>
      </c>
      <c r="E82" s="108"/>
      <c r="F82" s="109">
        <f>C82*F2</f>
        <v>11712.669446119027</v>
      </c>
      <c r="G82" s="112"/>
      <c r="H82" s="1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3">
      <c r="A83" s="104"/>
      <c r="B83" s="125">
        <v>3.5</v>
      </c>
      <c r="C83" s="106">
        <v>1152</v>
      </c>
      <c r="D83" s="107" t="s">
        <v>213</v>
      </c>
      <c r="E83" s="108"/>
      <c r="F83" s="109">
        <f>C83*F2</f>
        <v>11712.669446119027</v>
      </c>
      <c r="G83" s="112"/>
      <c r="H83" s="1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3">
      <c r="A84" s="104"/>
      <c r="B84" s="125">
        <v>3.6</v>
      </c>
      <c r="C84" s="106">
        <v>850</v>
      </c>
      <c r="D84" s="107" t="s">
        <v>214</v>
      </c>
      <c r="E84" s="108"/>
      <c r="F84" s="109">
        <f>C84*F2</f>
        <v>8642.1606156260186</v>
      </c>
      <c r="G84" s="112"/>
      <c r="H84" s="113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3">
      <c r="A85" s="104"/>
      <c r="B85" s="125">
        <v>3.7</v>
      </c>
      <c r="C85" s="106">
        <v>850</v>
      </c>
      <c r="D85" s="107" t="s">
        <v>215</v>
      </c>
      <c r="E85" s="108"/>
      <c r="F85" s="109">
        <f>C85*F2</f>
        <v>8642.1606156260186</v>
      </c>
      <c r="G85" s="112"/>
      <c r="H85" s="113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3">
      <c r="A86" s="104"/>
      <c r="B86" s="131" t="s">
        <v>175</v>
      </c>
      <c r="C86" s="136">
        <f>SUM(C79:C85)</f>
        <v>8457</v>
      </c>
      <c r="D86" s="107"/>
      <c r="E86" s="108"/>
      <c r="F86" s="109"/>
      <c r="G86" s="112"/>
      <c r="H86" s="113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3">
      <c r="A87" s="104">
        <v>4</v>
      </c>
      <c r="B87" s="105" t="s">
        <v>188</v>
      </c>
      <c r="C87" s="106">
        <v>8699</v>
      </c>
      <c r="D87" s="107" t="s">
        <v>216</v>
      </c>
      <c r="E87" s="108"/>
      <c r="F87" s="109">
        <f>C87*F2</f>
        <v>88444.888465094977</v>
      </c>
      <c r="G87" s="112"/>
      <c r="H87" s="113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3">
      <c r="A88" s="398" t="s">
        <v>35</v>
      </c>
      <c r="B88" s="375"/>
      <c r="C88" s="106">
        <f>SUM(C69,C77,C78,C87)</f>
        <v>34218</v>
      </c>
      <c r="D88" s="107"/>
      <c r="E88" s="108"/>
      <c r="F88" s="115"/>
      <c r="G88" s="112"/>
      <c r="H88" s="113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3">
      <c r="A89" s="104"/>
      <c r="B89" s="114"/>
      <c r="C89" s="106"/>
      <c r="D89" s="107"/>
      <c r="E89" s="108"/>
      <c r="F89" s="115"/>
      <c r="G89" s="112"/>
      <c r="H89" s="113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3">
      <c r="A90" s="396" t="s">
        <v>217</v>
      </c>
      <c r="B90" s="374"/>
      <c r="C90" s="374"/>
      <c r="D90" s="397"/>
      <c r="E90" s="116"/>
      <c r="F90" s="117"/>
      <c r="G90" s="112"/>
      <c r="H90" s="113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3">
      <c r="A91" s="118" t="s">
        <v>131</v>
      </c>
      <c r="B91" s="105" t="s">
        <v>34</v>
      </c>
      <c r="C91" s="106" t="s">
        <v>162</v>
      </c>
      <c r="D91" s="119" t="s">
        <v>133</v>
      </c>
      <c r="E91" s="108"/>
      <c r="F91" s="115"/>
      <c r="G91" s="112"/>
      <c r="H91" s="113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3">
      <c r="A92" s="137">
        <v>1</v>
      </c>
      <c r="B92" s="138" t="s">
        <v>169</v>
      </c>
      <c r="C92" s="139">
        <v>5637</v>
      </c>
      <c r="D92" s="140" t="s">
        <v>163</v>
      </c>
      <c r="E92" s="108"/>
      <c r="F92" s="109"/>
      <c r="G92" s="112"/>
      <c r="H92" s="11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3">
      <c r="A93" s="137"/>
      <c r="B93" s="141" t="s">
        <v>218</v>
      </c>
      <c r="C93" s="142">
        <f>2587</f>
        <v>2587</v>
      </c>
      <c r="D93" s="129" t="s">
        <v>219</v>
      </c>
      <c r="E93" s="108"/>
      <c r="F93" s="109">
        <f>C93*F2</f>
        <v>26302.670014852363</v>
      </c>
      <c r="G93" s="112"/>
      <c r="H93" s="113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3">
      <c r="A94" s="137"/>
      <c r="B94" s="141" t="s">
        <v>173</v>
      </c>
      <c r="C94" s="142">
        <v>3050</v>
      </c>
      <c r="D94" s="129" t="s">
        <v>220</v>
      </c>
      <c r="E94" s="108"/>
      <c r="F94" s="109">
        <f>C94*F2</f>
        <v>31010.105738422772</v>
      </c>
      <c r="G94" s="112"/>
      <c r="H94" s="113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3">
      <c r="A95" s="137"/>
      <c r="B95" s="131" t="s">
        <v>175</v>
      </c>
      <c r="C95" s="132">
        <f>SUM(C93:C94)</f>
        <v>5637</v>
      </c>
      <c r="D95" s="140"/>
      <c r="E95" s="108"/>
      <c r="F95" s="115"/>
      <c r="G95" s="112"/>
      <c r="H95" s="113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3">
      <c r="A96" s="137">
        <v>2</v>
      </c>
      <c r="B96" s="138" t="s">
        <v>176</v>
      </c>
      <c r="C96" s="139">
        <v>11425</v>
      </c>
      <c r="D96" s="140" t="s">
        <v>221</v>
      </c>
      <c r="E96" s="108"/>
      <c r="F96" s="109"/>
      <c r="G96" s="112"/>
      <c r="H96" s="113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3">
      <c r="A97" s="137"/>
      <c r="B97" s="143">
        <v>2.1</v>
      </c>
      <c r="C97" s="142">
        <v>3028</v>
      </c>
      <c r="D97" s="144" t="s">
        <v>222</v>
      </c>
      <c r="E97" s="108"/>
      <c r="F97" s="109">
        <f>C97*F2</f>
        <v>30786.426287194805</v>
      </c>
      <c r="G97" s="112"/>
      <c r="H97" s="113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3">
      <c r="A98" s="137"/>
      <c r="B98" s="143">
        <v>2.2000000000000002</v>
      </c>
      <c r="C98" s="142">
        <f>4004-1320</f>
        <v>2684</v>
      </c>
      <c r="D98" s="144" t="s">
        <v>223</v>
      </c>
      <c r="E98" s="108"/>
      <c r="F98" s="109">
        <f>C98*F2</f>
        <v>27288.893049812039</v>
      </c>
      <c r="G98" s="112"/>
      <c r="H98" s="113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3">
      <c r="A99" s="137"/>
      <c r="B99" s="143">
        <v>2.2999999999999998</v>
      </c>
      <c r="C99" s="142">
        <v>3028</v>
      </c>
      <c r="D99" s="144" t="s">
        <v>224</v>
      </c>
      <c r="E99" s="108"/>
      <c r="F99" s="109">
        <f>C99*F2</f>
        <v>30786.426287194805</v>
      </c>
      <c r="G99" s="112"/>
      <c r="H99" s="113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3">
      <c r="A100" s="137"/>
      <c r="B100" s="143">
        <v>2.4</v>
      </c>
      <c r="C100" s="142">
        <f>1365+1320</f>
        <v>2685</v>
      </c>
      <c r="D100" s="144" t="s">
        <v>225</v>
      </c>
      <c r="E100" s="108"/>
      <c r="F100" s="109">
        <f>C100*F2</f>
        <v>27299.060297595126</v>
      </c>
      <c r="G100" s="112"/>
      <c r="H100" s="113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3">
      <c r="A101" s="137"/>
      <c r="B101" s="131" t="s">
        <v>175</v>
      </c>
      <c r="C101" s="132">
        <f>SUM(C97:C100)</f>
        <v>11425</v>
      </c>
      <c r="D101" s="144"/>
      <c r="E101" s="108"/>
      <c r="F101" s="115"/>
      <c r="G101" s="112"/>
      <c r="H101" s="11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3">
      <c r="A102" s="137">
        <v>3</v>
      </c>
      <c r="B102" s="138" t="s">
        <v>178</v>
      </c>
      <c r="C102" s="139">
        <v>8457</v>
      </c>
      <c r="D102" s="140" t="s">
        <v>226</v>
      </c>
      <c r="E102" s="108"/>
      <c r="F102" s="109">
        <f>C102*F2</f>
        <v>85984.414501587336</v>
      </c>
      <c r="G102" s="112"/>
      <c r="H102" s="113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3">
      <c r="A103" s="137">
        <v>4</v>
      </c>
      <c r="B103" s="145" t="s">
        <v>188</v>
      </c>
      <c r="C103" s="139">
        <v>8699</v>
      </c>
      <c r="D103" s="140" t="s">
        <v>227</v>
      </c>
      <c r="E103" s="108"/>
      <c r="F103" s="109">
        <f>C103*F2</f>
        <v>88444.888465094977</v>
      </c>
      <c r="G103" s="112"/>
      <c r="H103" s="113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3">
      <c r="A104" s="399" t="s">
        <v>35</v>
      </c>
      <c r="B104" s="375"/>
      <c r="C104" s="139">
        <f>SUM(C92+C101+C102+C103)</f>
        <v>34218</v>
      </c>
      <c r="D104" s="140"/>
      <c r="E104" s="108"/>
      <c r="F104" s="115"/>
      <c r="G104" s="112"/>
      <c r="H104" s="113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3">
      <c r="A105" s="104"/>
      <c r="B105" s="114"/>
      <c r="C105" s="106"/>
      <c r="D105" s="107"/>
      <c r="E105" s="108"/>
      <c r="F105" s="115"/>
      <c r="G105" s="112"/>
      <c r="H105" s="113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3">
      <c r="A106" s="396" t="s">
        <v>228</v>
      </c>
      <c r="B106" s="374"/>
      <c r="C106" s="374"/>
      <c r="D106" s="397"/>
      <c r="E106" s="116"/>
      <c r="F106" s="117"/>
      <c r="G106" s="112"/>
      <c r="H106" s="113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3">
      <c r="A107" s="118" t="s">
        <v>131</v>
      </c>
      <c r="B107" s="105" t="s">
        <v>34</v>
      </c>
      <c r="C107" s="106" t="s">
        <v>162</v>
      </c>
      <c r="D107" s="119" t="s">
        <v>133</v>
      </c>
      <c r="E107" s="108"/>
      <c r="F107" s="115"/>
      <c r="G107" s="112"/>
      <c r="H107" s="113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3">
      <c r="A108" s="104">
        <v>1</v>
      </c>
      <c r="B108" s="105" t="s">
        <v>169</v>
      </c>
      <c r="C108" s="106">
        <f>2101</f>
        <v>2101</v>
      </c>
      <c r="D108" s="107" t="s">
        <v>229</v>
      </c>
      <c r="E108" s="108"/>
      <c r="F108" s="109">
        <f>C108*F2</f>
        <v>21361.387592270898</v>
      </c>
      <c r="G108" s="112"/>
      <c r="H108" s="113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3">
      <c r="A109" s="104">
        <v>2</v>
      </c>
      <c r="B109" s="105" t="s">
        <v>176</v>
      </c>
      <c r="C109" s="106">
        <v>11425</v>
      </c>
      <c r="D109" s="107" t="s">
        <v>230</v>
      </c>
      <c r="E109" s="108"/>
      <c r="F109" s="109"/>
      <c r="G109" s="112"/>
      <c r="H109" s="11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3">
      <c r="A110" s="146"/>
      <c r="B110" s="125">
        <v>2.1</v>
      </c>
      <c r="C110" s="126">
        <f>11166</f>
        <v>11166</v>
      </c>
      <c r="D110" s="127" t="s">
        <v>231</v>
      </c>
      <c r="E110" s="108"/>
      <c r="F110" s="109">
        <f>C110*F2</f>
        <v>113527.4887459766</v>
      </c>
      <c r="G110" s="112"/>
      <c r="H110" s="113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3">
      <c r="A111" s="146"/>
      <c r="B111" s="125">
        <v>2.2000000000000002</v>
      </c>
      <c r="C111" s="126">
        <f>259</f>
        <v>259</v>
      </c>
      <c r="D111" s="127" t="s">
        <v>232</v>
      </c>
      <c r="E111" s="108"/>
      <c r="F111" s="109">
        <f>C111*F2</f>
        <v>2633.3171758201634</v>
      </c>
      <c r="G111" s="112"/>
      <c r="H111" s="113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3">
      <c r="A112" s="146"/>
      <c r="B112" s="131" t="s">
        <v>233</v>
      </c>
      <c r="C112" s="132">
        <f>SUM(C110:C111)</f>
        <v>11425</v>
      </c>
      <c r="D112" s="127"/>
      <c r="E112" s="108"/>
      <c r="F112" s="115"/>
      <c r="G112" s="112"/>
      <c r="H112" s="113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3">
      <c r="A113" s="104">
        <v>3</v>
      </c>
      <c r="B113" s="105" t="s">
        <v>178</v>
      </c>
      <c r="C113" s="106">
        <f>8457</f>
        <v>8457</v>
      </c>
      <c r="D113" s="107" t="s">
        <v>234</v>
      </c>
      <c r="E113" s="108"/>
      <c r="F113" s="109"/>
      <c r="G113" s="112"/>
      <c r="H113" s="113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3">
      <c r="A114" s="146"/>
      <c r="B114" s="125">
        <v>3.1</v>
      </c>
      <c r="C114" s="126">
        <f>7640</f>
        <v>7640</v>
      </c>
      <c r="D114" s="127" t="s">
        <v>232</v>
      </c>
      <c r="E114" s="108"/>
      <c r="F114" s="109">
        <f>C114*F2</f>
        <v>77677.773062803273</v>
      </c>
      <c r="G114" s="112"/>
      <c r="H114" s="113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3">
      <c r="A115" s="146"/>
      <c r="B115" s="125">
        <v>3.2</v>
      </c>
      <c r="C115" s="126">
        <f>817</f>
        <v>817</v>
      </c>
      <c r="D115" s="127" t="s">
        <v>235</v>
      </c>
      <c r="E115" s="108"/>
      <c r="F115" s="109">
        <f>C115*F2</f>
        <v>8306.6414387840668</v>
      </c>
      <c r="G115" s="112"/>
      <c r="H115" s="113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3">
      <c r="A116" s="146"/>
      <c r="B116" s="131" t="s">
        <v>233</v>
      </c>
      <c r="C116" s="132">
        <f>SUM(C114:C115)</f>
        <v>8457</v>
      </c>
      <c r="D116" s="127"/>
      <c r="E116" s="108"/>
      <c r="F116" s="115"/>
      <c r="G116" s="112"/>
      <c r="H116" s="113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3">
      <c r="A117" s="104">
        <v>4</v>
      </c>
      <c r="B117" s="105" t="s">
        <v>188</v>
      </c>
      <c r="C117" s="106">
        <v>8699</v>
      </c>
      <c r="D117" s="107" t="s">
        <v>235</v>
      </c>
      <c r="E117" s="108"/>
      <c r="F117" s="109">
        <f>C117*F2</f>
        <v>88444.888465094977</v>
      </c>
      <c r="G117" s="112"/>
      <c r="H117" s="113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3">
      <c r="A118" s="398" t="s">
        <v>35</v>
      </c>
      <c r="B118" s="375"/>
      <c r="C118" s="106">
        <f>SUM(C108,C112,C116:C117)</f>
        <v>30682</v>
      </c>
      <c r="D118" s="147"/>
      <c r="E118" s="108"/>
      <c r="F118" s="115"/>
      <c r="G118" s="112"/>
      <c r="H118" s="113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3">
      <c r="A119" s="104"/>
      <c r="B119" s="114"/>
      <c r="C119" s="106"/>
      <c r="D119" s="147"/>
      <c r="E119" s="108"/>
      <c r="F119" s="115"/>
      <c r="G119" s="112"/>
      <c r="H119" s="113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3">
      <c r="A120" s="396" t="s">
        <v>236</v>
      </c>
      <c r="B120" s="374"/>
      <c r="C120" s="374"/>
      <c r="D120" s="397"/>
      <c r="E120" s="116"/>
      <c r="F120" s="117"/>
      <c r="G120" s="112"/>
      <c r="H120" s="113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3">
      <c r="A121" s="118" t="s">
        <v>131</v>
      </c>
      <c r="B121" s="105" t="s">
        <v>34</v>
      </c>
      <c r="C121" s="106" t="s">
        <v>162</v>
      </c>
      <c r="D121" s="119" t="s">
        <v>133</v>
      </c>
      <c r="E121" s="108"/>
      <c r="F121" s="115"/>
      <c r="G121" s="112"/>
      <c r="H121" s="113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3">
      <c r="A122" s="104">
        <v>1</v>
      </c>
      <c r="B122" s="105" t="s">
        <v>169</v>
      </c>
      <c r="C122" s="106">
        <v>5637</v>
      </c>
      <c r="D122" s="107" t="s">
        <v>234</v>
      </c>
      <c r="E122" s="108"/>
      <c r="F122" s="109"/>
      <c r="G122" s="112"/>
      <c r="H122" s="113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3">
      <c r="A123" s="104"/>
      <c r="B123" s="133" t="s">
        <v>170</v>
      </c>
      <c r="C123" s="126">
        <f>1600</f>
        <v>1600</v>
      </c>
      <c r="D123" s="127" t="s">
        <v>237</v>
      </c>
      <c r="E123" s="108"/>
      <c r="F123" s="109">
        <f>C123*F2</f>
        <v>16267.596452943093</v>
      </c>
      <c r="G123" s="112"/>
      <c r="H123" s="113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3">
      <c r="A124" s="104"/>
      <c r="B124" s="133" t="s">
        <v>238</v>
      </c>
      <c r="C124" s="126">
        <v>987</v>
      </c>
      <c r="D124" s="127" t="s">
        <v>239</v>
      </c>
      <c r="E124" s="108"/>
      <c r="F124" s="109">
        <f>C124*F2</f>
        <v>10035.07356190927</v>
      </c>
      <c r="G124" s="112"/>
      <c r="H124" s="113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3">
      <c r="A125" s="104"/>
      <c r="B125" s="133" t="s">
        <v>173</v>
      </c>
      <c r="C125" s="126">
        <v>3050</v>
      </c>
      <c r="D125" s="127" t="s">
        <v>240</v>
      </c>
      <c r="E125" s="108"/>
      <c r="F125" s="109">
        <f>C125*F2</f>
        <v>31010.105738422772</v>
      </c>
      <c r="G125" s="112"/>
      <c r="H125" s="113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3">
      <c r="A126" s="104"/>
      <c r="B126" s="131" t="s">
        <v>175</v>
      </c>
      <c r="C126" s="132">
        <f>SUM(C123:C125)</f>
        <v>5637</v>
      </c>
      <c r="D126" s="127"/>
      <c r="E126" s="108"/>
      <c r="F126" s="115"/>
      <c r="G126" s="112"/>
      <c r="H126" s="113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3">
      <c r="A127" s="104">
        <v>2</v>
      </c>
      <c r="B127" s="105" t="s">
        <v>176</v>
      </c>
      <c r="C127" s="106">
        <v>11425</v>
      </c>
      <c r="D127" s="107" t="s">
        <v>241</v>
      </c>
      <c r="E127" s="108"/>
      <c r="F127" s="109"/>
      <c r="G127" s="112"/>
      <c r="H127" s="113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3">
      <c r="A128" s="104"/>
      <c r="B128" s="133">
        <v>2.1</v>
      </c>
      <c r="C128" s="106">
        <v>5712</v>
      </c>
      <c r="D128" s="107" t="s">
        <v>242</v>
      </c>
      <c r="E128" s="108"/>
      <c r="F128" s="109">
        <f>C128*F2</f>
        <v>58075.31933700684</v>
      </c>
      <c r="G128" s="112"/>
      <c r="H128" s="113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3">
      <c r="A129" s="104"/>
      <c r="B129" s="133">
        <v>2.2000000000000002</v>
      </c>
      <c r="C129" s="106">
        <v>5713</v>
      </c>
      <c r="D129" s="107" t="s">
        <v>243</v>
      </c>
      <c r="E129" s="108"/>
      <c r="F129" s="109">
        <f>C129*F2</f>
        <v>58085.486584789927</v>
      </c>
      <c r="G129" s="112"/>
      <c r="H129" s="113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3">
      <c r="A130" s="104"/>
      <c r="B130" s="131" t="s">
        <v>175</v>
      </c>
      <c r="C130" s="136">
        <f>SUM(C128:C129)</f>
        <v>11425</v>
      </c>
      <c r="D130" s="107"/>
      <c r="E130" s="108"/>
      <c r="F130" s="109"/>
      <c r="G130" s="112"/>
      <c r="H130" s="113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3">
      <c r="A131" s="104">
        <v>3</v>
      </c>
      <c r="B131" s="105" t="s">
        <v>178</v>
      </c>
      <c r="C131" s="106">
        <f>8457</f>
        <v>8457</v>
      </c>
      <c r="D131" s="107" t="s">
        <v>244</v>
      </c>
      <c r="E131" s="108"/>
      <c r="F131" s="109"/>
      <c r="G131" s="112"/>
      <c r="H131" s="113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3">
      <c r="A132" s="104"/>
      <c r="B132" s="125">
        <v>3.1</v>
      </c>
      <c r="C132" s="126">
        <f>4957</f>
        <v>4957</v>
      </c>
      <c r="D132" s="107" t="s">
        <v>245</v>
      </c>
      <c r="E132" s="108"/>
      <c r="F132" s="109"/>
      <c r="G132" s="112"/>
      <c r="H132" s="113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3">
      <c r="A133" s="104"/>
      <c r="B133" s="125" t="s">
        <v>246</v>
      </c>
      <c r="C133" s="126">
        <v>1239</v>
      </c>
      <c r="D133" s="107" t="s">
        <v>247</v>
      </c>
      <c r="E133" s="108"/>
      <c r="F133" s="109">
        <f>C133*F2</f>
        <v>12597.220003247807</v>
      </c>
      <c r="G133" s="112"/>
      <c r="H133" s="113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3">
      <c r="A134" s="104"/>
      <c r="B134" s="125" t="s">
        <v>248</v>
      </c>
      <c r="C134" s="126">
        <v>1240</v>
      </c>
      <c r="D134" s="107" t="s">
        <v>249</v>
      </c>
      <c r="E134" s="108"/>
      <c r="F134" s="109">
        <f>C134*F2</f>
        <v>12607.387251030897</v>
      </c>
      <c r="G134" s="112"/>
      <c r="H134" s="113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3">
      <c r="A135" s="104"/>
      <c r="B135" s="125" t="s">
        <v>250</v>
      </c>
      <c r="C135" s="126">
        <v>1239</v>
      </c>
      <c r="D135" s="107" t="s">
        <v>251</v>
      </c>
      <c r="E135" s="108"/>
      <c r="F135" s="109">
        <f>C135*F2</f>
        <v>12597.220003247807</v>
      </c>
      <c r="G135" s="112"/>
      <c r="H135" s="113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3">
      <c r="A136" s="104"/>
      <c r="B136" s="125" t="s">
        <v>252</v>
      </c>
      <c r="C136" s="126">
        <v>1239</v>
      </c>
      <c r="D136" s="107" t="s">
        <v>253</v>
      </c>
      <c r="E136" s="108"/>
      <c r="F136" s="109">
        <f>C136*F2</f>
        <v>12597.220003247807</v>
      </c>
      <c r="G136" s="112"/>
      <c r="H136" s="113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3">
      <c r="A137" s="104"/>
      <c r="B137" s="131" t="s">
        <v>175</v>
      </c>
      <c r="C137" s="132">
        <f>SUM(C133:C136)</f>
        <v>4957</v>
      </c>
      <c r="D137" s="107"/>
      <c r="E137" s="108"/>
      <c r="F137" s="109"/>
      <c r="G137" s="112"/>
      <c r="H137" s="113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3">
      <c r="A138" s="104"/>
      <c r="B138" s="125">
        <v>3.2</v>
      </c>
      <c r="C138" s="126">
        <f>3500</f>
        <v>3500</v>
      </c>
      <c r="D138" s="107" t="s">
        <v>254</v>
      </c>
      <c r="E138" s="108"/>
      <c r="F138" s="109"/>
      <c r="G138" s="112"/>
      <c r="H138" s="113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3">
      <c r="A139" s="104"/>
      <c r="B139" s="125" t="s">
        <v>255</v>
      </c>
      <c r="C139" s="126">
        <v>800</v>
      </c>
      <c r="D139" s="107" t="s">
        <v>256</v>
      </c>
      <c r="E139" s="108"/>
      <c r="F139" s="109">
        <f>C139*F2</f>
        <v>8133.7982264715465</v>
      </c>
      <c r="G139" s="112"/>
      <c r="H139" s="113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3">
      <c r="A140" s="104"/>
      <c r="B140" s="125" t="s">
        <v>257</v>
      </c>
      <c r="C140" s="126">
        <v>800</v>
      </c>
      <c r="D140" s="107" t="s">
        <v>258</v>
      </c>
      <c r="E140" s="108"/>
      <c r="F140" s="109">
        <f>C140*F2</f>
        <v>8133.7982264715465</v>
      </c>
      <c r="G140" s="112"/>
      <c r="H140" s="113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3">
      <c r="A141" s="104"/>
      <c r="B141" s="125" t="s">
        <v>259</v>
      </c>
      <c r="C141" s="126">
        <v>1100</v>
      </c>
      <c r="D141" s="107" t="s">
        <v>260</v>
      </c>
      <c r="E141" s="108"/>
      <c r="F141" s="109">
        <f>C141*F2</f>
        <v>11183.972561398376</v>
      </c>
      <c r="G141" s="112"/>
      <c r="H141" s="113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3">
      <c r="A142" s="104"/>
      <c r="B142" s="125" t="s">
        <v>261</v>
      </c>
      <c r="C142" s="126">
        <v>800</v>
      </c>
      <c r="D142" s="107" t="s">
        <v>262</v>
      </c>
      <c r="E142" s="108"/>
      <c r="F142" s="109">
        <f>C142*F2</f>
        <v>8133.7982264715465</v>
      </c>
      <c r="G142" s="112"/>
      <c r="H142" s="113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3">
      <c r="A143" s="104"/>
      <c r="B143" s="131" t="s">
        <v>175</v>
      </c>
      <c r="C143" s="132">
        <f>SUM(C139:C142)</f>
        <v>3500</v>
      </c>
      <c r="D143" s="107"/>
      <c r="E143" s="108"/>
      <c r="F143" s="115"/>
      <c r="G143" s="112"/>
      <c r="H143" s="113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3">
      <c r="A144" s="104">
        <v>4</v>
      </c>
      <c r="B144" s="105" t="s">
        <v>188</v>
      </c>
      <c r="C144" s="106">
        <v>8699</v>
      </c>
      <c r="D144" s="107" t="s">
        <v>142</v>
      </c>
      <c r="E144" s="108"/>
      <c r="F144" s="109"/>
      <c r="G144" s="112"/>
      <c r="H144" s="113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3">
      <c r="A145" s="104"/>
      <c r="B145" s="125">
        <v>4.0999999999999996</v>
      </c>
      <c r="C145" s="126">
        <f>4623</f>
        <v>4623</v>
      </c>
      <c r="D145" s="127" t="s">
        <v>263</v>
      </c>
      <c r="E145" s="108"/>
      <c r="F145" s="109">
        <f>C145*F2</f>
        <v>47003.186501222452</v>
      </c>
      <c r="G145" s="112"/>
      <c r="H145" s="113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3">
      <c r="A146" s="104"/>
      <c r="B146" s="125">
        <v>4.2</v>
      </c>
      <c r="C146" s="126">
        <f>3906-2009</f>
        <v>1897</v>
      </c>
      <c r="D146" s="127" t="s">
        <v>264</v>
      </c>
      <c r="E146" s="108"/>
      <c r="F146" s="109">
        <f>C146*F2</f>
        <v>19287.269044520654</v>
      </c>
      <c r="G146" s="112"/>
      <c r="H146" s="113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3">
      <c r="A147" s="104"/>
      <c r="B147" s="125">
        <v>4.3</v>
      </c>
      <c r="C147" s="126">
        <f>2179</f>
        <v>2179</v>
      </c>
      <c r="D147" s="127" t="s">
        <v>265</v>
      </c>
      <c r="E147" s="108"/>
      <c r="F147" s="109">
        <f>C147*F2</f>
        <v>22154.432919351875</v>
      </c>
      <c r="G147" s="112"/>
      <c r="H147" s="113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3">
      <c r="A148" s="104"/>
      <c r="B148" s="131" t="s">
        <v>175</v>
      </c>
      <c r="C148" s="132">
        <f>SUM(C145:C147)</f>
        <v>8699</v>
      </c>
      <c r="D148" s="107"/>
      <c r="E148" s="108"/>
      <c r="F148" s="109"/>
      <c r="G148" s="112"/>
      <c r="H148" s="113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3">
      <c r="A149" s="398" t="s">
        <v>35</v>
      </c>
      <c r="B149" s="375"/>
      <c r="C149" s="106">
        <f>SUM(C126,C130,C137,C143,C148)</f>
        <v>34218</v>
      </c>
      <c r="D149" s="107"/>
      <c r="E149" s="108"/>
      <c r="F149" s="115"/>
      <c r="G149" s="112"/>
      <c r="H149" s="113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3">
      <c r="A150" s="104"/>
      <c r="B150" s="131"/>
      <c r="C150" s="132"/>
      <c r="D150" s="127"/>
      <c r="E150" s="108"/>
      <c r="F150" s="115"/>
      <c r="G150" s="112"/>
      <c r="H150" s="113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3">
      <c r="A151" s="396" t="s">
        <v>266</v>
      </c>
      <c r="B151" s="374"/>
      <c r="C151" s="374"/>
      <c r="D151" s="397"/>
      <c r="E151" s="116"/>
      <c r="F151" s="117"/>
      <c r="G151" s="112"/>
      <c r="H151" s="113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3">
      <c r="A152" s="118" t="s">
        <v>131</v>
      </c>
      <c r="B152" s="105" t="s">
        <v>34</v>
      </c>
      <c r="C152" s="106" t="s">
        <v>162</v>
      </c>
      <c r="D152" s="119" t="s">
        <v>133</v>
      </c>
      <c r="E152" s="108"/>
      <c r="F152" s="115"/>
      <c r="G152" s="112"/>
      <c r="H152" s="11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3">
      <c r="A153" s="137">
        <v>1</v>
      </c>
      <c r="B153" s="138" t="s">
        <v>169</v>
      </c>
      <c r="C153" s="139">
        <f>5637</f>
        <v>5637</v>
      </c>
      <c r="D153" s="140" t="s">
        <v>265</v>
      </c>
      <c r="E153" s="108"/>
      <c r="F153" s="109">
        <f>C153*F2</f>
        <v>57312.775753275135</v>
      </c>
      <c r="G153" s="112"/>
      <c r="H153" s="113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3">
      <c r="A154" s="137">
        <v>2</v>
      </c>
      <c r="B154" s="138" t="s">
        <v>176</v>
      </c>
      <c r="C154" s="139">
        <v>11425</v>
      </c>
      <c r="D154" s="140" t="s">
        <v>267</v>
      </c>
      <c r="E154" s="108"/>
      <c r="F154" s="109">
        <f>C154*F2</f>
        <v>116160.80592179677</v>
      </c>
      <c r="G154" s="112"/>
      <c r="H154" s="113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3">
      <c r="A155" s="137">
        <v>3</v>
      </c>
      <c r="B155" s="138" t="s">
        <v>178</v>
      </c>
      <c r="C155" s="139">
        <v>8457</v>
      </c>
      <c r="D155" s="140" t="s">
        <v>268</v>
      </c>
      <c r="E155" s="108"/>
      <c r="F155" s="109"/>
      <c r="G155" s="112"/>
      <c r="H155" s="113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3">
      <c r="A156" s="148"/>
      <c r="B156" s="143">
        <v>3.1</v>
      </c>
      <c r="C156" s="142">
        <f>2951-1014</f>
        <v>1937</v>
      </c>
      <c r="D156" s="144" t="s">
        <v>263</v>
      </c>
      <c r="E156" s="108"/>
      <c r="F156" s="109">
        <f>C156*F2</f>
        <v>19693.958955844231</v>
      </c>
      <c r="G156" s="112"/>
      <c r="H156" s="113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3">
      <c r="A157" s="148"/>
      <c r="B157" s="143">
        <v>3.3</v>
      </c>
      <c r="C157" s="142">
        <f>4789+717+1014</f>
        <v>6520</v>
      </c>
      <c r="D157" s="144" t="s">
        <v>265</v>
      </c>
      <c r="E157" s="108"/>
      <c r="F157" s="109">
        <f>C157*F2</f>
        <v>66290.455545743098</v>
      </c>
      <c r="G157" s="112"/>
      <c r="H157" s="113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3">
      <c r="A158" s="148"/>
      <c r="B158" s="131" t="s">
        <v>175</v>
      </c>
      <c r="C158" s="132">
        <f>SUM(C156:C157)</f>
        <v>8457</v>
      </c>
      <c r="D158" s="144"/>
      <c r="E158" s="108"/>
      <c r="F158" s="115"/>
      <c r="G158" s="112"/>
      <c r="H158" s="113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3">
      <c r="A159" s="137">
        <v>4</v>
      </c>
      <c r="B159" s="138" t="s">
        <v>188</v>
      </c>
      <c r="C159" s="139">
        <v>8699</v>
      </c>
      <c r="D159" s="140" t="s">
        <v>269</v>
      </c>
      <c r="E159" s="108"/>
      <c r="F159" s="109">
        <f>C159*F2</f>
        <v>88444.888465094977</v>
      </c>
      <c r="G159" s="112"/>
      <c r="H159" s="113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3">
      <c r="A160" s="407" t="s">
        <v>35</v>
      </c>
      <c r="B160" s="395"/>
      <c r="C160" s="149">
        <v>34218</v>
      </c>
      <c r="D160" s="150"/>
      <c r="E160" s="151"/>
      <c r="F160" s="152"/>
      <c r="G160" s="153"/>
      <c r="H160" s="154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5">
      <c r="A161" s="408"/>
      <c r="B161" s="409" t="s">
        <v>270</v>
      </c>
      <c r="C161" s="400">
        <f>C160+C149+C118+C104+C88+C65+C52+C44+C26+C22+C13</f>
        <v>490749</v>
      </c>
      <c r="D161" s="402"/>
      <c r="E161" s="404" t="s">
        <v>271</v>
      </c>
      <c r="F161" s="405">
        <f>SUM(F5:F160)</f>
        <v>4271468.5452976627</v>
      </c>
      <c r="G161" s="391"/>
      <c r="H161" s="392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 spans="1:26" ht="15.75" customHeight="1" x14ac:dyDescent="0.25">
      <c r="A162" s="406"/>
      <c r="B162" s="406"/>
      <c r="C162" s="401"/>
      <c r="D162" s="403"/>
      <c r="E162" s="403"/>
      <c r="F162" s="406"/>
      <c r="G162" s="388"/>
      <c r="H162" s="390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 spans="1:26" ht="15.75" customHeight="1" x14ac:dyDescent="0.3">
      <c r="A163" s="95"/>
      <c r="B163" s="95"/>
      <c r="C163" s="95"/>
      <c r="D163" s="156"/>
      <c r="E163" s="95"/>
      <c r="F163" s="157"/>
      <c r="G163" s="158"/>
      <c r="H163" s="158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3">
      <c r="A164" s="95"/>
      <c r="B164" s="95"/>
      <c r="C164" s="95"/>
      <c r="D164" s="156"/>
      <c r="E164" s="95"/>
      <c r="F164" s="157"/>
      <c r="G164" s="158"/>
      <c r="H164" s="158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3">
      <c r="A165" s="95"/>
      <c r="B165" s="95"/>
      <c r="C165" s="159"/>
      <c r="D165" s="156"/>
      <c r="E165" s="95"/>
      <c r="F165" s="160"/>
      <c r="G165" s="158"/>
      <c r="H165" s="158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3">
      <c r="A166" s="95"/>
      <c r="B166" s="95"/>
      <c r="C166" s="95"/>
      <c r="D166" s="156"/>
      <c r="E166" s="95"/>
      <c r="F166" s="157"/>
      <c r="G166" s="158"/>
      <c r="H166" s="158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3">
      <c r="A167" s="95"/>
      <c r="B167" s="95"/>
      <c r="C167" s="95"/>
      <c r="D167" s="156"/>
      <c r="E167" s="95"/>
      <c r="F167" s="157"/>
      <c r="G167" s="158"/>
      <c r="H167" s="158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3">
      <c r="A168" s="95"/>
      <c r="B168" s="95"/>
      <c r="C168" s="95"/>
      <c r="D168" s="156"/>
      <c r="E168" s="95"/>
      <c r="F168" s="157"/>
      <c r="G168" s="158"/>
      <c r="H168" s="158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3">
      <c r="A169" s="95"/>
      <c r="B169" s="95"/>
      <c r="C169" s="95"/>
      <c r="D169" s="156"/>
      <c r="E169" s="95"/>
      <c r="F169" s="157"/>
      <c r="G169" s="158"/>
      <c r="H169" s="158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3">
      <c r="A170" s="95"/>
      <c r="B170" s="95"/>
      <c r="C170" s="95"/>
      <c r="D170" s="156"/>
      <c r="E170" s="95"/>
      <c r="F170" s="157"/>
      <c r="G170" s="158"/>
      <c r="H170" s="158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3">
      <c r="A171" s="95"/>
      <c r="B171" s="95"/>
      <c r="C171" s="95"/>
      <c r="D171" s="156"/>
      <c r="E171" s="95"/>
      <c r="F171" s="157"/>
      <c r="G171" s="158"/>
      <c r="H171" s="158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3">
      <c r="A172" s="95"/>
      <c r="B172" s="95"/>
      <c r="C172" s="95"/>
      <c r="D172" s="156"/>
      <c r="E172" s="95"/>
      <c r="F172" s="157"/>
      <c r="G172" s="158"/>
      <c r="H172" s="158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3">
      <c r="A173" s="95"/>
      <c r="B173" s="95"/>
      <c r="C173" s="95"/>
      <c r="D173" s="156"/>
      <c r="E173" s="95"/>
      <c r="F173" s="157"/>
      <c r="G173" s="158"/>
      <c r="H173" s="158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3">
      <c r="A174" s="95"/>
      <c r="B174" s="95"/>
      <c r="C174" s="95"/>
      <c r="D174" s="156"/>
      <c r="E174" s="95"/>
      <c r="F174" s="157"/>
      <c r="G174" s="158"/>
      <c r="H174" s="158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3">
      <c r="A175" s="95"/>
      <c r="B175" s="95"/>
      <c r="C175" s="95"/>
      <c r="D175" s="156"/>
      <c r="E175" s="95"/>
      <c r="F175" s="157"/>
      <c r="G175" s="158"/>
      <c r="H175" s="158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3">
      <c r="A176" s="95"/>
      <c r="B176" s="95"/>
      <c r="C176" s="95"/>
      <c r="D176" s="156"/>
      <c r="E176" s="95"/>
      <c r="F176" s="157"/>
      <c r="G176" s="158"/>
      <c r="H176" s="158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3">
      <c r="A177" s="95"/>
      <c r="B177" s="95"/>
      <c r="C177" s="95"/>
      <c r="D177" s="156"/>
      <c r="E177" s="95"/>
      <c r="F177" s="157"/>
      <c r="G177" s="158"/>
      <c r="H177" s="158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3">
      <c r="A178" s="95"/>
      <c r="B178" s="95"/>
      <c r="C178" s="95"/>
      <c r="D178" s="156"/>
      <c r="E178" s="95"/>
      <c r="F178" s="157"/>
      <c r="G178" s="158"/>
      <c r="H178" s="158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3">
      <c r="A179" s="95"/>
      <c r="B179" s="95"/>
      <c r="C179" s="95"/>
      <c r="D179" s="156"/>
      <c r="E179" s="95"/>
      <c r="F179" s="157"/>
      <c r="G179" s="158"/>
      <c r="H179" s="158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3">
      <c r="A180" s="95"/>
      <c r="B180" s="95"/>
      <c r="C180" s="95"/>
      <c r="D180" s="156"/>
      <c r="E180" s="95"/>
      <c r="F180" s="157"/>
      <c r="G180" s="158"/>
      <c r="H180" s="158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3">
      <c r="A181" s="95"/>
      <c r="B181" s="95"/>
      <c r="C181" s="95"/>
      <c r="D181" s="156"/>
      <c r="E181" s="95"/>
      <c r="F181" s="157"/>
      <c r="G181" s="158"/>
      <c r="H181" s="158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3">
      <c r="A182" s="95"/>
      <c r="B182" s="95"/>
      <c r="C182" s="95"/>
      <c r="D182" s="156"/>
      <c r="E182" s="95"/>
      <c r="F182" s="157"/>
      <c r="G182" s="158"/>
      <c r="H182" s="158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3">
      <c r="A183" s="95"/>
      <c r="B183" s="95"/>
      <c r="C183" s="95"/>
      <c r="D183" s="156"/>
      <c r="E183" s="95"/>
      <c r="F183" s="157"/>
      <c r="G183" s="158"/>
      <c r="H183" s="158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3">
      <c r="A184" s="95"/>
      <c r="B184" s="95"/>
      <c r="C184" s="95"/>
      <c r="D184" s="156"/>
      <c r="E184" s="95"/>
      <c r="F184" s="157"/>
      <c r="G184" s="158"/>
      <c r="H184" s="158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3">
      <c r="A185" s="95"/>
      <c r="B185" s="95"/>
      <c r="C185" s="95"/>
      <c r="D185" s="156"/>
      <c r="E185" s="95"/>
      <c r="F185" s="157"/>
      <c r="G185" s="158"/>
      <c r="H185" s="158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3">
      <c r="A186" s="95"/>
      <c r="B186" s="95"/>
      <c r="C186" s="95"/>
      <c r="D186" s="156"/>
      <c r="E186" s="95"/>
      <c r="F186" s="157"/>
      <c r="G186" s="158"/>
      <c r="H186" s="158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3">
      <c r="A187" s="95"/>
      <c r="B187" s="95"/>
      <c r="C187" s="95"/>
      <c r="D187" s="156"/>
      <c r="E187" s="95"/>
      <c r="F187" s="157"/>
      <c r="G187" s="158"/>
      <c r="H187" s="158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3">
      <c r="A188" s="95"/>
      <c r="B188" s="95"/>
      <c r="C188" s="95"/>
      <c r="D188" s="156"/>
      <c r="E188" s="95"/>
      <c r="F188" s="157"/>
      <c r="G188" s="158"/>
      <c r="H188" s="158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3">
      <c r="A189" s="95"/>
      <c r="B189" s="95"/>
      <c r="C189" s="95"/>
      <c r="D189" s="156"/>
      <c r="E189" s="95"/>
      <c r="F189" s="157"/>
      <c r="G189" s="158"/>
      <c r="H189" s="158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3">
      <c r="A190" s="95"/>
      <c r="B190" s="95"/>
      <c r="C190" s="95"/>
      <c r="D190" s="156"/>
      <c r="E190" s="95"/>
      <c r="F190" s="157"/>
      <c r="G190" s="158"/>
      <c r="H190" s="158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3">
      <c r="A191" s="95"/>
      <c r="B191" s="95"/>
      <c r="C191" s="95"/>
      <c r="D191" s="156"/>
      <c r="E191" s="95"/>
      <c r="F191" s="157"/>
      <c r="G191" s="158"/>
      <c r="H191" s="158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3">
      <c r="A192" s="95"/>
      <c r="B192" s="95"/>
      <c r="C192" s="95"/>
      <c r="D192" s="156"/>
      <c r="E192" s="95"/>
      <c r="F192" s="157"/>
      <c r="G192" s="158"/>
      <c r="H192" s="158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3">
      <c r="A193" s="95"/>
      <c r="B193" s="95"/>
      <c r="C193" s="95"/>
      <c r="D193" s="156"/>
      <c r="E193" s="95"/>
      <c r="F193" s="157"/>
      <c r="G193" s="158"/>
      <c r="H193" s="158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3">
      <c r="A194" s="95"/>
      <c r="B194" s="95"/>
      <c r="C194" s="95"/>
      <c r="D194" s="156"/>
      <c r="E194" s="95"/>
      <c r="F194" s="157"/>
      <c r="G194" s="158"/>
      <c r="H194" s="158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3">
      <c r="A195" s="95"/>
      <c r="B195" s="95"/>
      <c r="C195" s="95"/>
      <c r="D195" s="156"/>
      <c r="E195" s="95"/>
      <c r="F195" s="157"/>
      <c r="G195" s="158"/>
      <c r="H195" s="158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3">
      <c r="A196" s="95"/>
      <c r="B196" s="95"/>
      <c r="C196" s="95"/>
      <c r="D196" s="156"/>
      <c r="E196" s="95"/>
      <c r="F196" s="157"/>
      <c r="G196" s="158"/>
      <c r="H196" s="158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3">
      <c r="A197" s="95"/>
      <c r="B197" s="95"/>
      <c r="C197" s="95"/>
      <c r="D197" s="156"/>
      <c r="E197" s="95"/>
      <c r="F197" s="157"/>
      <c r="G197" s="158"/>
      <c r="H197" s="158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3">
      <c r="A198" s="95"/>
      <c r="B198" s="95"/>
      <c r="C198" s="95"/>
      <c r="D198" s="156"/>
      <c r="E198" s="95"/>
      <c r="F198" s="157"/>
      <c r="G198" s="158"/>
      <c r="H198" s="158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3">
      <c r="A199" s="95"/>
      <c r="B199" s="95"/>
      <c r="C199" s="95"/>
      <c r="D199" s="156"/>
      <c r="E199" s="95"/>
      <c r="F199" s="157"/>
      <c r="G199" s="158"/>
      <c r="H199" s="158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3">
      <c r="A200" s="95"/>
      <c r="B200" s="95"/>
      <c r="C200" s="95"/>
      <c r="D200" s="156"/>
      <c r="E200" s="95"/>
      <c r="F200" s="157"/>
      <c r="G200" s="158"/>
      <c r="H200" s="158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3">
      <c r="A201" s="95"/>
      <c r="B201" s="95"/>
      <c r="C201" s="95"/>
      <c r="D201" s="156"/>
      <c r="E201" s="95"/>
      <c r="F201" s="157"/>
      <c r="G201" s="158"/>
      <c r="H201" s="158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3">
      <c r="A202" s="95"/>
      <c r="B202" s="95"/>
      <c r="C202" s="95"/>
      <c r="D202" s="156"/>
      <c r="E202" s="95"/>
      <c r="F202" s="157"/>
      <c r="G202" s="158"/>
      <c r="H202" s="158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3">
      <c r="A203" s="95"/>
      <c r="B203" s="95"/>
      <c r="C203" s="95"/>
      <c r="D203" s="156"/>
      <c r="E203" s="95"/>
      <c r="F203" s="157"/>
      <c r="G203" s="158"/>
      <c r="H203" s="158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3">
      <c r="A204" s="95"/>
      <c r="B204" s="95"/>
      <c r="C204" s="95"/>
      <c r="D204" s="156"/>
      <c r="E204" s="95"/>
      <c r="F204" s="157"/>
      <c r="G204" s="158"/>
      <c r="H204" s="158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3">
      <c r="A205" s="95"/>
      <c r="B205" s="95"/>
      <c r="C205" s="95"/>
      <c r="D205" s="156"/>
      <c r="E205" s="95"/>
      <c r="F205" s="157"/>
      <c r="G205" s="158"/>
      <c r="H205" s="158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3">
      <c r="A206" s="95"/>
      <c r="B206" s="95"/>
      <c r="C206" s="95"/>
      <c r="D206" s="156"/>
      <c r="E206" s="95"/>
      <c r="F206" s="157"/>
      <c r="G206" s="158"/>
      <c r="H206" s="158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3">
      <c r="A207" s="95"/>
      <c r="B207" s="95"/>
      <c r="C207" s="95"/>
      <c r="D207" s="156"/>
      <c r="E207" s="95"/>
      <c r="F207" s="157"/>
      <c r="G207" s="158"/>
      <c r="H207" s="158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3">
      <c r="A208" s="95"/>
      <c r="B208" s="95"/>
      <c r="C208" s="95"/>
      <c r="D208" s="156"/>
      <c r="E208" s="95"/>
      <c r="F208" s="157"/>
      <c r="G208" s="158"/>
      <c r="H208" s="158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3">
      <c r="A209" s="95"/>
      <c r="B209" s="95"/>
      <c r="C209" s="95"/>
      <c r="D209" s="156"/>
      <c r="E209" s="95"/>
      <c r="F209" s="157"/>
      <c r="G209" s="158"/>
      <c r="H209" s="158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3">
      <c r="A210" s="95"/>
      <c r="B210" s="95"/>
      <c r="C210" s="95"/>
      <c r="D210" s="156"/>
      <c r="E210" s="95"/>
      <c r="F210" s="157"/>
      <c r="G210" s="158"/>
      <c r="H210" s="158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3">
      <c r="A211" s="95"/>
      <c r="B211" s="95"/>
      <c r="C211" s="95"/>
      <c r="D211" s="156"/>
      <c r="E211" s="95"/>
      <c r="F211" s="157"/>
      <c r="G211" s="158"/>
      <c r="H211" s="158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3">
      <c r="A212" s="95"/>
      <c r="B212" s="95"/>
      <c r="C212" s="95"/>
      <c r="D212" s="156"/>
      <c r="E212" s="95"/>
      <c r="F212" s="157"/>
      <c r="G212" s="158"/>
      <c r="H212" s="158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3">
      <c r="A213" s="95"/>
      <c r="B213" s="95"/>
      <c r="C213" s="95"/>
      <c r="D213" s="156"/>
      <c r="E213" s="95"/>
      <c r="F213" s="157"/>
      <c r="G213" s="158"/>
      <c r="H213" s="158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3">
      <c r="A214" s="95"/>
      <c r="B214" s="95"/>
      <c r="C214" s="95"/>
      <c r="D214" s="156"/>
      <c r="E214" s="95"/>
      <c r="F214" s="157"/>
      <c r="G214" s="158"/>
      <c r="H214" s="158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3">
      <c r="A215" s="95"/>
      <c r="B215" s="95"/>
      <c r="C215" s="95"/>
      <c r="D215" s="156"/>
      <c r="E215" s="95"/>
      <c r="F215" s="157"/>
      <c r="G215" s="158"/>
      <c r="H215" s="158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3">
      <c r="A216" s="95"/>
      <c r="B216" s="95"/>
      <c r="C216" s="95"/>
      <c r="D216" s="156"/>
      <c r="E216" s="95"/>
      <c r="F216" s="157"/>
      <c r="G216" s="158"/>
      <c r="H216" s="158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3">
      <c r="A217" s="95"/>
      <c r="B217" s="95"/>
      <c r="C217" s="95"/>
      <c r="D217" s="156"/>
      <c r="E217" s="95"/>
      <c r="F217" s="157"/>
      <c r="G217" s="158"/>
      <c r="H217" s="158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3">
      <c r="A218" s="95"/>
      <c r="B218" s="95"/>
      <c r="C218" s="95"/>
      <c r="D218" s="156"/>
      <c r="E218" s="95"/>
      <c r="F218" s="157"/>
      <c r="G218" s="158"/>
      <c r="H218" s="158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3">
      <c r="A219" s="95"/>
      <c r="B219" s="95"/>
      <c r="C219" s="95"/>
      <c r="D219" s="156"/>
      <c r="E219" s="95"/>
      <c r="F219" s="157"/>
      <c r="G219" s="158"/>
      <c r="H219" s="158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3">
      <c r="A220" s="95"/>
      <c r="B220" s="95"/>
      <c r="C220" s="95"/>
      <c r="D220" s="156"/>
      <c r="E220" s="95"/>
      <c r="F220" s="157"/>
      <c r="G220" s="158"/>
      <c r="H220" s="158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3">
      <c r="A221" s="95"/>
      <c r="B221" s="95"/>
      <c r="C221" s="95"/>
      <c r="D221" s="156"/>
      <c r="E221" s="95"/>
      <c r="F221" s="157"/>
      <c r="G221" s="158"/>
      <c r="H221" s="158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3">
      <c r="A222" s="95"/>
      <c r="B222" s="95"/>
      <c r="C222" s="95"/>
      <c r="D222" s="156"/>
      <c r="E222" s="95"/>
      <c r="F222" s="157"/>
      <c r="G222" s="158"/>
      <c r="H222" s="158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3">
      <c r="A223" s="95"/>
      <c r="B223" s="95"/>
      <c r="C223" s="95"/>
      <c r="D223" s="156"/>
      <c r="E223" s="95"/>
      <c r="F223" s="157"/>
      <c r="G223" s="158"/>
      <c r="H223" s="158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3">
      <c r="A224" s="95"/>
      <c r="B224" s="95"/>
      <c r="C224" s="95"/>
      <c r="D224" s="156"/>
      <c r="E224" s="95"/>
      <c r="F224" s="157"/>
      <c r="G224" s="158"/>
      <c r="H224" s="158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3">
      <c r="A225" s="95"/>
      <c r="B225" s="95"/>
      <c r="C225" s="95"/>
      <c r="D225" s="156"/>
      <c r="E225" s="95"/>
      <c r="F225" s="157"/>
      <c r="G225" s="158"/>
      <c r="H225" s="158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3">
      <c r="A226" s="95"/>
      <c r="B226" s="95"/>
      <c r="C226" s="95"/>
      <c r="D226" s="156"/>
      <c r="E226" s="95"/>
      <c r="F226" s="157"/>
      <c r="G226" s="158"/>
      <c r="H226" s="158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3">
      <c r="A227" s="95"/>
      <c r="B227" s="95"/>
      <c r="C227" s="95"/>
      <c r="D227" s="156"/>
      <c r="E227" s="95"/>
      <c r="F227" s="157"/>
      <c r="G227" s="158"/>
      <c r="H227" s="158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3">
      <c r="A228" s="95"/>
      <c r="B228" s="95"/>
      <c r="C228" s="95"/>
      <c r="D228" s="156"/>
      <c r="E228" s="95"/>
      <c r="F228" s="157"/>
      <c r="G228" s="158"/>
      <c r="H228" s="158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3">
      <c r="A229" s="95"/>
      <c r="B229" s="95"/>
      <c r="C229" s="95"/>
      <c r="D229" s="156"/>
      <c r="E229" s="95"/>
      <c r="F229" s="157"/>
      <c r="G229" s="158"/>
      <c r="H229" s="158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3">
      <c r="A230" s="95"/>
      <c r="B230" s="95"/>
      <c r="C230" s="95"/>
      <c r="D230" s="156"/>
      <c r="E230" s="95"/>
      <c r="F230" s="157"/>
      <c r="G230" s="158"/>
      <c r="H230" s="158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3">
      <c r="A231" s="95"/>
      <c r="B231" s="95"/>
      <c r="C231" s="95"/>
      <c r="D231" s="156"/>
      <c r="E231" s="95"/>
      <c r="F231" s="157"/>
      <c r="G231" s="158"/>
      <c r="H231" s="158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3">
      <c r="A232" s="95"/>
      <c r="B232" s="95"/>
      <c r="C232" s="95"/>
      <c r="D232" s="156"/>
      <c r="E232" s="95"/>
      <c r="F232" s="157"/>
      <c r="G232" s="158"/>
      <c r="H232" s="158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3">
      <c r="A233" s="95"/>
      <c r="B233" s="95"/>
      <c r="C233" s="95"/>
      <c r="D233" s="156"/>
      <c r="E233" s="95"/>
      <c r="F233" s="157"/>
      <c r="G233" s="158"/>
      <c r="H233" s="158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3">
      <c r="A234" s="95"/>
      <c r="B234" s="95"/>
      <c r="C234" s="95"/>
      <c r="D234" s="156"/>
      <c r="E234" s="95"/>
      <c r="F234" s="157"/>
      <c r="G234" s="158"/>
      <c r="H234" s="158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3">
      <c r="A235" s="95"/>
      <c r="B235" s="95"/>
      <c r="C235" s="95"/>
      <c r="D235" s="156"/>
      <c r="E235" s="95"/>
      <c r="F235" s="157"/>
      <c r="G235" s="158"/>
      <c r="H235" s="158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3">
      <c r="A236" s="95"/>
      <c r="B236" s="95"/>
      <c r="C236" s="95"/>
      <c r="D236" s="156"/>
      <c r="E236" s="95"/>
      <c r="F236" s="157"/>
      <c r="G236" s="158"/>
      <c r="H236" s="158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3">
      <c r="A237" s="95"/>
      <c r="B237" s="95"/>
      <c r="C237" s="95"/>
      <c r="D237" s="156"/>
      <c r="E237" s="95"/>
      <c r="F237" s="157"/>
      <c r="G237" s="158"/>
      <c r="H237" s="158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3">
      <c r="A238" s="95"/>
      <c r="B238" s="95"/>
      <c r="C238" s="95"/>
      <c r="D238" s="156"/>
      <c r="E238" s="95"/>
      <c r="F238" s="157"/>
      <c r="G238" s="158"/>
      <c r="H238" s="158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3">
      <c r="A239" s="95"/>
      <c r="B239" s="95"/>
      <c r="C239" s="95"/>
      <c r="D239" s="156"/>
      <c r="E239" s="95"/>
      <c r="F239" s="157"/>
      <c r="G239" s="158"/>
      <c r="H239" s="158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3">
      <c r="A240" s="95"/>
      <c r="B240" s="95"/>
      <c r="C240" s="95"/>
      <c r="D240" s="156"/>
      <c r="E240" s="95"/>
      <c r="F240" s="157"/>
      <c r="G240" s="158"/>
      <c r="H240" s="158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3">
      <c r="A241" s="95"/>
      <c r="B241" s="95"/>
      <c r="C241" s="95"/>
      <c r="D241" s="156"/>
      <c r="E241" s="95"/>
      <c r="F241" s="157"/>
      <c r="G241" s="158"/>
      <c r="H241" s="158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3">
      <c r="A242" s="95"/>
      <c r="B242" s="95"/>
      <c r="C242" s="95"/>
      <c r="D242" s="156"/>
      <c r="E242" s="95"/>
      <c r="F242" s="157"/>
      <c r="G242" s="158"/>
      <c r="H242" s="158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3">
      <c r="A243" s="95"/>
      <c r="B243" s="95"/>
      <c r="C243" s="95"/>
      <c r="D243" s="156"/>
      <c r="E243" s="95"/>
      <c r="F243" s="157"/>
      <c r="G243" s="158"/>
      <c r="H243" s="158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3">
      <c r="A244" s="95"/>
      <c r="B244" s="95"/>
      <c r="C244" s="95"/>
      <c r="D244" s="156"/>
      <c r="E244" s="95"/>
      <c r="F244" s="157"/>
      <c r="G244" s="158"/>
      <c r="H244" s="158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3">
      <c r="A245" s="95"/>
      <c r="B245" s="95"/>
      <c r="C245" s="95"/>
      <c r="D245" s="156"/>
      <c r="E245" s="95"/>
      <c r="F245" s="157"/>
      <c r="G245" s="158"/>
      <c r="H245" s="158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3">
      <c r="A246" s="95"/>
      <c r="B246" s="95"/>
      <c r="C246" s="95"/>
      <c r="D246" s="156"/>
      <c r="E246" s="95"/>
      <c r="F246" s="157"/>
      <c r="G246" s="158"/>
      <c r="H246" s="158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3">
      <c r="A247" s="95"/>
      <c r="B247" s="95"/>
      <c r="C247" s="95"/>
      <c r="D247" s="156"/>
      <c r="E247" s="95"/>
      <c r="F247" s="157"/>
      <c r="G247" s="158"/>
      <c r="H247" s="158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3">
      <c r="A248" s="95"/>
      <c r="B248" s="95"/>
      <c r="C248" s="95"/>
      <c r="D248" s="156"/>
      <c r="E248" s="95"/>
      <c r="F248" s="157"/>
      <c r="G248" s="158"/>
      <c r="H248" s="158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3">
      <c r="A249" s="95"/>
      <c r="B249" s="95"/>
      <c r="C249" s="95"/>
      <c r="D249" s="156"/>
      <c r="E249" s="95"/>
      <c r="F249" s="157"/>
      <c r="G249" s="158"/>
      <c r="H249" s="158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3">
      <c r="A250" s="95"/>
      <c r="B250" s="95"/>
      <c r="C250" s="95"/>
      <c r="D250" s="156"/>
      <c r="E250" s="95"/>
      <c r="F250" s="157"/>
      <c r="G250" s="158"/>
      <c r="H250" s="158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3">
      <c r="A251" s="95"/>
      <c r="B251" s="95"/>
      <c r="C251" s="95"/>
      <c r="D251" s="156"/>
      <c r="E251" s="95"/>
      <c r="F251" s="157"/>
      <c r="G251" s="158"/>
      <c r="H251" s="158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3">
      <c r="A252" s="95"/>
      <c r="B252" s="95"/>
      <c r="C252" s="95"/>
      <c r="D252" s="156"/>
      <c r="E252" s="95"/>
      <c r="F252" s="157"/>
      <c r="G252" s="158"/>
      <c r="H252" s="158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3">
      <c r="A253" s="95"/>
      <c r="B253" s="95"/>
      <c r="C253" s="95"/>
      <c r="D253" s="156"/>
      <c r="E253" s="95"/>
      <c r="F253" s="157"/>
      <c r="G253" s="158"/>
      <c r="H253" s="158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3">
      <c r="A254" s="95"/>
      <c r="B254" s="95"/>
      <c r="C254" s="95"/>
      <c r="D254" s="156"/>
      <c r="E254" s="95"/>
      <c r="F254" s="157"/>
      <c r="G254" s="158"/>
      <c r="H254" s="158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3">
      <c r="A255" s="95"/>
      <c r="B255" s="95"/>
      <c r="C255" s="95"/>
      <c r="D255" s="156"/>
      <c r="E255" s="95"/>
      <c r="F255" s="157"/>
      <c r="G255" s="158"/>
      <c r="H255" s="158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3">
      <c r="A256" s="95"/>
      <c r="B256" s="95"/>
      <c r="C256" s="95"/>
      <c r="D256" s="156"/>
      <c r="E256" s="95"/>
      <c r="F256" s="157"/>
      <c r="G256" s="158"/>
      <c r="H256" s="158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3">
      <c r="A257" s="95"/>
      <c r="B257" s="95"/>
      <c r="C257" s="95"/>
      <c r="D257" s="156"/>
      <c r="E257" s="95"/>
      <c r="F257" s="157"/>
      <c r="G257" s="158"/>
      <c r="H257" s="158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3">
      <c r="A258" s="95"/>
      <c r="B258" s="95"/>
      <c r="C258" s="95"/>
      <c r="D258" s="156"/>
      <c r="E258" s="95"/>
      <c r="F258" s="157"/>
      <c r="G258" s="158"/>
      <c r="H258" s="158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3">
      <c r="A259" s="95"/>
      <c r="B259" s="95"/>
      <c r="C259" s="95"/>
      <c r="D259" s="156"/>
      <c r="E259" s="95"/>
      <c r="F259" s="157"/>
      <c r="G259" s="158"/>
      <c r="H259" s="158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3">
      <c r="A260" s="95"/>
      <c r="B260" s="95"/>
      <c r="C260" s="95"/>
      <c r="D260" s="156"/>
      <c r="E260" s="95"/>
      <c r="F260" s="157"/>
      <c r="G260" s="158"/>
      <c r="H260" s="158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3">
      <c r="A261" s="95"/>
      <c r="B261" s="95"/>
      <c r="C261" s="95"/>
      <c r="D261" s="156"/>
      <c r="E261" s="95"/>
      <c r="F261" s="157"/>
      <c r="G261" s="158"/>
      <c r="H261" s="158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3">
      <c r="A262" s="95"/>
      <c r="B262" s="95"/>
      <c r="C262" s="95"/>
      <c r="D262" s="156"/>
      <c r="E262" s="95"/>
      <c r="F262" s="157"/>
      <c r="G262" s="158"/>
      <c r="H262" s="158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3">
      <c r="A263" s="95"/>
      <c r="B263" s="95"/>
      <c r="C263" s="95"/>
      <c r="D263" s="156"/>
      <c r="E263" s="95"/>
      <c r="F263" s="157"/>
      <c r="G263" s="158"/>
      <c r="H263" s="158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3">
      <c r="A264" s="95"/>
      <c r="B264" s="95"/>
      <c r="C264" s="95"/>
      <c r="D264" s="156"/>
      <c r="E264" s="95"/>
      <c r="F264" s="157"/>
      <c r="G264" s="158"/>
      <c r="H264" s="158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3">
      <c r="A265" s="95"/>
      <c r="B265" s="95"/>
      <c r="C265" s="95"/>
      <c r="D265" s="156"/>
      <c r="E265" s="95"/>
      <c r="F265" s="157"/>
      <c r="G265" s="158"/>
      <c r="H265" s="158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3">
      <c r="A266" s="95"/>
      <c r="B266" s="95"/>
      <c r="C266" s="95"/>
      <c r="D266" s="156"/>
      <c r="E266" s="95"/>
      <c r="F266" s="157"/>
      <c r="G266" s="158"/>
      <c r="H266" s="158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3">
      <c r="A267" s="95"/>
      <c r="B267" s="95"/>
      <c r="C267" s="95"/>
      <c r="D267" s="156"/>
      <c r="E267" s="95"/>
      <c r="F267" s="157"/>
      <c r="G267" s="158"/>
      <c r="H267" s="158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3">
      <c r="A268" s="95"/>
      <c r="B268" s="95"/>
      <c r="C268" s="95"/>
      <c r="D268" s="156"/>
      <c r="E268" s="95"/>
      <c r="F268" s="157"/>
      <c r="G268" s="158"/>
      <c r="H268" s="158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3">
      <c r="A269" s="95"/>
      <c r="B269" s="95"/>
      <c r="C269" s="95"/>
      <c r="D269" s="156"/>
      <c r="E269" s="95"/>
      <c r="F269" s="157"/>
      <c r="G269" s="158"/>
      <c r="H269" s="158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3">
      <c r="A270" s="95"/>
      <c r="B270" s="95"/>
      <c r="C270" s="95"/>
      <c r="D270" s="156"/>
      <c r="E270" s="95"/>
      <c r="F270" s="157"/>
      <c r="G270" s="158"/>
      <c r="H270" s="158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3">
      <c r="A271" s="95"/>
      <c r="B271" s="95"/>
      <c r="C271" s="95"/>
      <c r="D271" s="156"/>
      <c r="E271" s="95"/>
      <c r="F271" s="157"/>
      <c r="G271" s="158"/>
      <c r="H271" s="158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3">
      <c r="A272" s="95"/>
      <c r="B272" s="95"/>
      <c r="C272" s="95"/>
      <c r="D272" s="156"/>
      <c r="E272" s="95"/>
      <c r="F272" s="157"/>
      <c r="G272" s="158"/>
      <c r="H272" s="158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3">
      <c r="A273" s="95"/>
      <c r="B273" s="95"/>
      <c r="C273" s="95"/>
      <c r="D273" s="156"/>
      <c r="E273" s="95"/>
      <c r="F273" s="157"/>
      <c r="G273" s="158"/>
      <c r="H273" s="158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3">
      <c r="A274" s="95"/>
      <c r="B274" s="95"/>
      <c r="C274" s="95"/>
      <c r="D274" s="156"/>
      <c r="E274" s="95"/>
      <c r="F274" s="157"/>
      <c r="G274" s="158"/>
      <c r="H274" s="158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3">
      <c r="A275" s="95"/>
      <c r="B275" s="95"/>
      <c r="C275" s="95"/>
      <c r="D275" s="156"/>
      <c r="E275" s="95"/>
      <c r="F275" s="157"/>
      <c r="G275" s="158"/>
      <c r="H275" s="158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3">
      <c r="A276" s="95"/>
      <c r="B276" s="95"/>
      <c r="C276" s="95"/>
      <c r="D276" s="156"/>
      <c r="E276" s="95"/>
      <c r="F276" s="157"/>
      <c r="G276" s="158"/>
      <c r="H276" s="158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3">
      <c r="A277" s="95"/>
      <c r="B277" s="95"/>
      <c r="C277" s="95"/>
      <c r="D277" s="156"/>
      <c r="E277" s="95"/>
      <c r="F277" s="157"/>
      <c r="G277" s="158"/>
      <c r="H277" s="158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3">
      <c r="A278" s="95"/>
      <c r="B278" s="95"/>
      <c r="C278" s="95"/>
      <c r="D278" s="156"/>
      <c r="E278" s="95"/>
      <c r="F278" s="157"/>
      <c r="G278" s="158"/>
      <c r="H278" s="158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3">
      <c r="A279" s="95"/>
      <c r="B279" s="95"/>
      <c r="C279" s="95"/>
      <c r="D279" s="156"/>
      <c r="E279" s="95"/>
      <c r="F279" s="157"/>
      <c r="G279" s="158"/>
      <c r="H279" s="158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3">
      <c r="A280" s="95"/>
      <c r="B280" s="95"/>
      <c r="C280" s="95"/>
      <c r="D280" s="156"/>
      <c r="E280" s="95"/>
      <c r="F280" s="157"/>
      <c r="G280" s="158"/>
      <c r="H280" s="158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3">
      <c r="A281" s="95"/>
      <c r="B281" s="95"/>
      <c r="C281" s="95"/>
      <c r="D281" s="156"/>
      <c r="E281" s="95"/>
      <c r="F281" s="157"/>
      <c r="G281" s="158"/>
      <c r="H281" s="158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3">
      <c r="A282" s="95"/>
      <c r="B282" s="95"/>
      <c r="C282" s="95"/>
      <c r="D282" s="156"/>
      <c r="E282" s="95"/>
      <c r="F282" s="157"/>
      <c r="G282" s="158"/>
      <c r="H282" s="158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3">
      <c r="A283" s="95"/>
      <c r="B283" s="95"/>
      <c r="C283" s="95"/>
      <c r="D283" s="156"/>
      <c r="E283" s="95"/>
      <c r="F283" s="157"/>
      <c r="G283" s="158"/>
      <c r="H283" s="158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3">
      <c r="A284" s="95"/>
      <c r="B284" s="95"/>
      <c r="C284" s="95"/>
      <c r="D284" s="156"/>
      <c r="E284" s="95"/>
      <c r="F284" s="157"/>
      <c r="G284" s="158"/>
      <c r="H284" s="158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3">
      <c r="A285" s="95"/>
      <c r="B285" s="95"/>
      <c r="C285" s="95"/>
      <c r="D285" s="156"/>
      <c r="E285" s="95"/>
      <c r="F285" s="157"/>
      <c r="G285" s="158"/>
      <c r="H285" s="158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3">
      <c r="A286" s="95"/>
      <c r="B286" s="95"/>
      <c r="C286" s="95"/>
      <c r="D286" s="156"/>
      <c r="E286" s="95"/>
      <c r="F286" s="157"/>
      <c r="G286" s="158"/>
      <c r="H286" s="158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3">
      <c r="A287" s="95"/>
      <c r="B287" s="95"/>
      <c r="C287" s="95"/>
      <c r="D287" s="156"/>
      <c r="E287" s="95"/>
      <c r="F287" s="157"/>
      <c r="G287" s="158"/>
      <c r="H287" s="158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3">
      <c r="A288" s="95"/>
      <c r="B288" s="95"/>
      <c r="C288" s="95"/>
      <c r="D288" s="156"/>
      <c r="E288" s="95"/>
      <c r="F288" s="157"/>
      <c r="G288" s="158"/>
      <c r="H288" s="158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3">
      <c r="A289" s="95"/>
      <c r="B289" s="95"/>
      <c r="C289" s="95"/>
      <c r="D289" s="156"/>
      <c r="E289" s="95"/>
      <c r="F289" s="157"/>
      <c r="G289" s="158"/>
      <c r="H289" s="158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3">
      <c r="A290" s="95"/>
      <c r="B290" s="95"/>
      <c r="C290" s="95"/>
      <c r="D290" s="156"/>
      <c r="E290" s="95"/>
      <c r="F290" s="157"/>
      <c r="G290" s="158"/>
      <c r="H290" s="158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3">
      <c r="A291" s="95"/>
      <c r="B291" s="95"/>
      <c r="C291" s="95"/>
      <c r="D291" s="156"/>
      <c r="E291" s="95"/>
      <c r="F291" s="157"/>
      <c r="G291" s="158"/>
      <c r="H291" s="158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3">
      <c r="A292" s="95"/>
      <c r="B292" s="95"/>
      <c r="C292" s="95"/>
      <c r="D292" s="156"/>
      <c r="E292" s="95"/>
      <c r="F292" s="157"/>
      <c r="G292" s="158"/>
      <c r="H292" s="158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3">
      <c r="A293" s="95"/>
      <c r="B293" s="95"/>
      <c r="C293" s="95"/>
      <c r="D293" s="156"/>
      <c r="E293" s="95"/>
      <c r="F293" s="157"/>
      <c r="G293" s="158"/>
      <c r="H293" s="158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3">
      <c r="A294" s="95"/>
      <c r="B294" s="95"/>
      <c r="C294" s="95"/>
      <c r="D294" s="156"/>
      <c r="E294" s="95"/>
      <c r="F294" s="157"/>
      <c r="G294" s="158"/>
      <c r="H294" s="158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3">
      <c r="A295" s="95"/>
      <c r="B295" s="95"/>
      <c r="C295" s="95"/>
      <c r="D295" s="156"/>
      <c r="E295" s="95"/>
      <c r="F295" s="157"/>
      <c r="G295" s="158"/>
      <c r="H295" s="158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3">
      <c r="A296" s="95"/>
      <c r="B296" s="95"/>
      <c r="C296" s="95"/>
      <c r="D296" s="156"/>
      <c r="E296" s="95"/>
      <c r="F296" s="157"/>
      <c r="G296" s="158"/>
      <c r="H296" s="158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3">
      <c r="A297" s="95"/>
      <c r="B297" s="95"/>
      <c r="C297" s="95"/>
      <c r="D297" s="156"/>
      <c r="E297" s="95"/>
      <c r="F297" s="157"/>
      <c r="G297" s="158"/>
      <c r="H297" s="158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3">
      <c r="A298" s="95"/>
      <c r="B298" s="95"/>
      <c r="C298" s="95"/>
      <c r="D298" s="156"/>
      <c r="E298" s="95"/>
      <c r="F298" s="157"/>
      <c r="G298" s="158"/>
      <c r="H298" s="158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3">
      <c r="A299" s="95"/>
      <c r="B299" s="95"/>
      <c r="C299" s="95"/>
      <c r="D299" s="156"/>
      <c r="E299" s="95"/>
      <c r="F299" s="157"/>
      <c r="G299" s="158"/>
      <c r="H299" s="158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3">
      <c r="A300" s="95"/>
      <c r="B300" s="95"/>
      <c r="C300" s="95"/>
      <c r="D300" s="156"/>
      <c r="E300" s="95"/>
      <c r="F300" s="157"/>
      <c r="G300" s="158"/>
      <c r="H300" s="158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3">
      <c r="A301" s="95"/>
      <c r="B301" s="95"/>
      <c r="C301" s="95"/>
      <c r="D301" s="156"/>
      <c r="E301" s="95"/>
      <c r="F301" s="157"/>
      <c r="G301" s="158"/>
      <c r="H301" s="158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3">
      <c r="A302" s="95"/>
      <c r="B302" s="95"/>
      <c r="C302" s="95"/>
      <c r="D302" s="156"/>
      <c r="E302" s="95"/>
      <c r="F302" s="157"/>
      <c r="G302" s="158"/>
      <c r="H302" s="158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3">
      <c r="A303" s="95"/>
      <c r="B303" s="95"/>
      <c r="C303" s="95"/>
      <c r="D303" s="156"/>
      <c r="E303" s="95"/>
      <c r="F303" s="157"/>
      <c r="G303" s="158"/>
      <c r="H303" s="158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3">
      <c r="A304" s="95"/>
      <c r="B304" s="95"/>
      <c r="C304" s="95"/>
      <c r="D304" s="156"/>
      <c r="E304" s="95"/>
      <c r="F304" s="157"/>
      <c r="G304" s="158"/>
      <c r="H304" s="158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3">
      <c r="A305" s="95"/>
      <c r="B305" s="95"/>
      <c r="C305" s="95"/>
      <c r="D305" s="156"/>
      <c r="E305" s="95"/>
      <c r="F305" s="157"/>
      <c r="G305" s="158"/>
      <c r="H305" s="158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3">
      <c r="A306" s="95"/>
      <c r="B306" s="95"/>
      <c r="C306" s="95"/>
      <c r="D306" s="156"/>
      <c r="E306" s="95"/>
      <c r="F306" s="157"/>
      <c r="G306" s="158"/>
      <c r="H306" s="158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3">
      <c r="A307" s="95"/>
      <c r="B307" s="95"/>
      <c r="C307" s="95"/>
      <c r="D307" s="156"/>
      <c r="E307" s="95"/>
      <c r="F307" s="157"/>
      <c r="G307" s="158"/>
      <c r="H307" s="158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3">
      <c r="A308" s="95"/>
      <c r="B308" s="95"/>
      <c r="C308" s="95"/>
      <c r="D308" s="156"/>
      <c r="E308" s="95"/>
      <c r="F308" s="157"/>
      <c r="G308" s="158"/>
      <c r="H308" s="158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3">
      <c r="A309" s="95"/>
      <c r="B309" s="95"/>
      <c r="C309" s="95"/>
      <c r="D309" s="156"/>
      <c r="E309" s="95"/>
      <c r="F309" s="157"/>
      <c r="G309" s="158"/>
      <c r="H309" s="158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3">
      <c r="A310" s="95"/>
      <c r="B310" s="95"/>
      <c r="C310" s="95"/>
      <c r="D310" s="156"/>
      <c r="E310" s="95"/>
      <c r="F310" s="157"/>
      <c r="G310" s="158"/>
      <c r="H310" s="158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3">
      <c r="A311" s="95"/>
      <c r="B311" s="95"/>
      <c r="C311" s="95"/>
      <c r="D311" s="156"/>
      <c r="E311" s="95"/>
      <c r="F311" s="157"/>
      <c r="G311" s="158"/>
      <c r="H311" s="158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3">
      <c r="A312" s="95"/>
      <c r="B312" s="95"/>
      <c r="C312" s="95"/>
      <c r="D312" s="156"/>
      <c r="E312" s="95"/>
      <c r="F312" s="157"/>
      <c r="G312" s="158"/>
      <c r="H312" s="158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3">
      <c r="A313" s="95"/>
      <c r="B313" s="95"/>
      <c r="C313" s="95"/>
      <c r="D313" s="156"/>
      <c r="E313" s="95"/>
      <c r="F313" s="157"/>
      <c r="G313" s="158"/>
      <c r="H313" s="158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3">
      <c r="A314" s="95"/>
      <c r="B314" s="95"/>
      <c r="C314" s="95"/>
      <c r="D314" s="156"/>
      <c r="E314" s="95"/>
      <c r="F314" s="157"/>
      <c r="G314" s="158"/>
      <c r="H314" s="158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3">
      <c r="A315" s="95"/>
      <c r="B315" s="95"/>
      <c r="C315" s="95"/>
      <c r="D315" s="156"/>
      <c r="E315" s="95"/>
      <c r="F315" s="157"/>
      <c r="G315" s="158"/>
      <c r="H315" s="158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3">
      <c r="A316" s="95"/>
      <c r="B316" s="95"/>
      <c r="C316" s="95"/>
      <c r="D316" s="156"/>
      <c r="E316" s="95"/>
      <c r="F316" s="157"/>
      <c r="G316" s="158"/>
      <c r="H316" s="158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3">
      <c r="A317" s="95"/>
      <c r="B317" s="95"/>
      <c r="C317" s="95"/>
      <c r="D317" s="156"/>
      <c r="E317" s="95"/>
      <c r="F317" s="157"/>
      <c r="G317" s="158"/>
      <c r="H317" s="158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3">
      <c r="A318" s="95"/>
      <c r="B318" s="95"/>
      <c r="C318" s="95"/>
      <c r="D318" s="156"/>
      <c r="E318" s="95"/>
      <c r="F318" s="157"/>
      <c r="G318" s="158"/>
      <c r="H318" s="158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3">
      <c r="A319" s="95"/>
      <c r="B319" s="95"/>
      <c r="C319" s="95"/>
      <c r="D319" s="156"/>
      <c r="E319" s="95"/>
      <c r="F319" s="157"/>
      <c r="G319" s="158"/>
      <c r="H319" s="158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3">
      <c r="A320" s="95"/>
      <c r="B320" s="95"/>
      <c r="C320" s="95"/>
      <c r="D320" s="156"/>
      <c r="E320" s="95"/>
      <c r="F320" s="157"/>
      <c r="G320" s="158"/>
      <c r="H320" s="158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3">
      <c r="A321" s="95"/>
      <c r="B321" s="95"/>
      <c r="C321" s="95"/>
      <c r="D321" s="156"/>
      <c r="E321" s="95"/>
      <c r="F321" s="157"/>
      <c r="G321" s="158"/>
      <c r="H321" s="158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3">
      <c r="A322" s="95"/>
      <c r="B322" s="95"/>
      <c r="C322" s="95"/>
      <c r="D322" s="156"/>
      <c r="E322" s="95"/>
      <c r="F322" s="157"/>
      <c r="G322" s="158"/>
      <c r="H322" s="158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3">
      <c r="A323" s="95"/>
      <c r="B323" s="95"/>
      <c r="C323" s="95"/>
      <c r="D323" s="156"/>
      <c r="E323" s="95"/>
      <c r="F323" s="157"/>
      <c r="G323" s="158"/>
      <c r="H323" s="158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3">
      <c r="A324" s="95"/>
      <c r="B324" s="95"/>
      <c r="C324" s="95"/>
      <c r="D324" s="156"/>
      <c r="E324" s="95"/>
      <c r="F324" s="157"/>
      <c r="G324" s="158"/>
      <c r="H324" s="158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3">
      <c r="A325" s="95"/>
      <c r="B325" s="95"/>
      <c r="C325" s="95"/>
      <c r="D325" s="156"/>
      <c r="E325" s="95"/>
      <c r="F325" s="157"/>
      <c r="G325" s="158"/>
      <c r="H325" s="158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3">
      <c r="A326" s="95"/>
      <c r="B326" s="95"/>
      <c r="C326" s="95"/>
      <c r="D326" s="156"/>
      <c r="E326" s="95"/>
      <c r="F326" s="157"/>
      <c r="G326" s="158"/>
      <c r="H326" s="158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3">
      <c r="A327" s="95"/>
      <c r="B327" s="95"/>
      <c r="C327" s="95"/>
      <c r="D327" s="156"/>
      <c r="E327" s="95"/>
      <c r="F327" s="157"/>
      <c r="G327" s="158"/>
      <c r="H327" s="158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3">
      <c r="A328" s="95"/>
      <c r="B328" s="95"/>
      <c r="C328" s="95"/>
      <c r="D328" s="156"/>
      <c r="E328" s="95"/>
      <c r="F328" s="157"/>
      <c r="G328" s="158"/>
      <c r="H328" s="158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3">
      <c r="A329" s="95"/>
      <c r="B329" s="95"/>
      <c r="C329" s="95"/>
      <c r="D329" s="156"/>
      <c r="E329" s="95"/>
      <c r="F329" s="157"/>
      <c r="G329" s="158"/>
      <c r="H329" s="158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3">
      <c r="A330" s="95"/>
      <c r="B330" s="95"/>
      <c r="C330" s="95"/>
      <c r="D330" s="156"/>
      <c r="E330" s="95"/>
      <c r="F330" s="157"/>
      <c r="G330" s="158"/>
      <c r="H330" s="158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3">
      <c r="A331" s="95"/>
      <c r="B331" s="95"/>
      <c r="C331" s="95"/>
      <c r="D331" s="156"/>
      <c r="E331" s="95"/>
      <c r="F331" s="157"/>
      <c r="G331" s="158"/>
      <c r="H331" s="158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3">
      <c r="A332" s="95"/>
      <c r="B332" s="95"/>
      <c r="C332" s="95"/>
      <c r="D332" s="156"/>
      <c r="E332" s="95"/>
      <c r="F332" s="157"/>
      <c r="G332" s="158"/>
      <c r="H332" s="158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3">
      <c r="A333" s="95"/>
      <c r="B333" s="95"/>
      <c r="C333" s="95"/>
      <c r="D333" s="156"/>
      <c r="E333" s="95"/>
      <c r="F333" s="157"/>
      <c r="G333" s="158"/>
      <c r="H333" s="158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3">
      <c r="A334" s="95"/>
      <c r="B334" s="95"/>
      <c r="C334" s="95"/>
      <c r="D334" s="156"/>
      <c r="E334" s="95"/>
      <c r="F334" s="157"/>
      <c r="G334" s="158"/>
      <c r="H334" s="158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3">
      <c r="A335" s="95"/>
      <c r="B335" s="95"/>
      <c r="C335" s="95"/>
      <c r="D335" s="156"/>
      <c r="E335" s="95"/>
      <c r="F335" s="157"/>
      <c r="G335" s="158"/>
      <c r="H335" s="158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3">
      <c r="A336" s="95"/>
      <c r="B336" s="95"/>
      <c r="C336" s="95"/>
      <c r="D336" s="156"/>
      <c r="E336" s="95"/>
      <c r="F336" s="157"/>
      <c r="G336" s="158"/>
      <c r="H336" s="158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3">
      <c r="A337" s="95"/>
      <c r="B337" s="95"/>
      <c r="C337" s="95"/>
      <c r="D337" s="156"/>
      <c r="E337" s="95"/>
      <c r="F337" s="157"/>
      <c r="G337" s="158"/>
      <c r="H337" s="158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3">
      <c r="A338" s="95"/>
      <c r="B338" s="95"/>
      <c r="C338" s="95"/>
      <c r="D338" s="156"/>
      <c r="E338" s="95"/>
      <c r="F338" s="157"/>
      <c r="G338" s="158"/>
      <c r="H338" s="158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3">
      <c r="A339" s="95"/>
      <c r="B339" s="95"/>
      <c r="C339" s="95"/>
      <c r="D339" s="156"/>
      <c r="E339" s="95"/>
      <c r="F339" s="157"/>
      <c r="G339" s="158"/>
      <c r="H339" s="158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3">
      <c r="A340" s="95"/>
      <c r="B340" s="95"/>
      <c r="C340" s="95"/>
      <c r="D340" s="156"/>
      <c r="E340" s="95"/>
      <c r="F340" s="157"/>
      <c r="G340" s="158"/>
      <c r="H340" s="158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3">
      <c r="A341" s="95"/>
      <c r="B341" s="95"/>
      <c r="C341" s="95"/>
      <c r="D341" s="156"/>
      <c r="E341" s="95"/>
      <c r="F341" s="157"/>
      <c r="G341" s="158"/>
      <c r="H341" s="158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3">
      <c r="A342" s="95"/>
      <c r="B342" s="95"/>
      <c r="C342" s="95"/>
      <c r="D342" s="156"/>
      <c r="E342" s="95"/>
      <c r="F342" s="157"/>
      <c r="G342" s="158"/>
      <c r="H342" s="158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3">
      <c r="A343" s="95"/>
      <c r="B343" s="95"/>
      <c r="C343" s="95"/>
      <c r="D343" s="156"/>
      <c r="E343" s="95"/>
      <c r="F343" s="157"/>
      <c r="G343" s="158"/>
      <c r="H343" s="158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3">
      <c r="A344" s="95"/>
      <c r="B344" s="95"/>
      <c r="C344" s="95"/>
      <c r="D344" s="156"/>
      <c r="E344" s="95"/>
      <c r="F344" s="157"/>
      <c r="G344" s="158"/>
      <c r="H344" s="158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3">
      <c r="A345" s="95"/>
      <c r="B345" s="95"/>
      <c r="C345" s="95"/>
      <c r="D345" s="156"/>
      <c r="E345" s="95"/>
      <c r="F345" s="157"/>
      <c r="G345" s="158"/>
      <c r="H345" s="158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3">
      <c r="A346" s="95"/>
      <c r="B346" s="95"/>
      <c r="C346" s="95"/>
      <c r="D346" s="156"/>
      <c r="E346" s="95"/>
      <c r="F346" s="157"/>
      <c r="G346" s="158"/>
      <c r="H346" s="158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3">
      <c r="A347" s="95"/>
      <c r="B347" s="95"/>
      <c r="C347" s="95"/>
      <c r="D347" s="156"/>
      <c r="E347" s="95"/>
      <c r="F347" s="157"/>
      <c r="G347" s="158"/>
      <c r="H347" s="158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3">
      <c r="A348" s="95"/>
      <c r="B348" s="95"/>
      <c r="C348" s="95"/>
      <c r="D348" s="156"/>
      <c r="E348" s="95"/>
      <c r="F348" s="157"/>
      <c r="G348" s="158"/>
      <c r="H348" s="158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3">
      <c r="A349" s="95"/>
      <c r="B349" s="95"/>
      <c r="C349" s="95"/>
      <c r="D349" s="156"/>
      <c r="E349" s="95"/>
      <c r="F349" s="157"/>
      <c r="G349" s="158"/>
      <c r="H349" s="158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3">
      <c r="A350" s="95"/>
      <c r="B350" s="95"/>
      <c r="C350" s="95"/>
      <c r="D350" s="156"/>
      <c r="E350" s="95"/>
      <c r="F350" s="157"/>
      <c r="G350" s="158"/>
      <c r="H350" s="158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3">
      <c r="A351" s="95"/>
      <c r="B351" s="95"/>
      <c r="C351" s="95"/>
      <c r="D351" s="156"/>
      <c r="E351" s="95"/>
      <c r="F351" s="157"/>
      <c r="G351" s="158"/>
      <c r="H351" s="158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3">
      <c r="A352" s="95"/>
      <c r="B352" s="95"/>
      <c r="C352" s="95"/>
      <c r="D352" s="156"/>
      <c r="E352" s="95"/>
      <c r="F352" s="157"/>
      <c r="G352" s="158"/>
      <c r="H352" s="158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3">
      <c r="A353" s="95"/>
      <c r="B353" s="95"/>
      <c r="C353" s="95"/>
      <c r="D353" s="156"/>
      <c r="E353" s="95"/>
      <c r="F353" s="157"/>
      <c r="G353" s="158"/>
      <c r="H353" s="158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3">
      <c r="A354" s="95"/>
      <c r="B354" s="95"/>
      <c r="C354" s="95"/>
      <c r="D354" s="156"/>
      <c r="E354" s="95"/>
      <c r="F354" s="157"/>
      <c r="G354" s="158"/>
      <c r="H354" s="158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3">
      <c r="A355" s="95"/>
      <c r="B355" s="95"/>
      <c r="C355" s="95"/>
      <c r="D355" s="156"/>
      <c r="E355" s="95"/>
      <c r="F355" s="157"/>
      <c r="G355" s="158"/>
      <c r="H355" s="158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3">
      <c r="A356" s="95"/>
      <c r="B356" s="95"/>
      <c r="C356" s="95"/>
      <c r="D356" s="156"/>
      <c r="E356" s="95"/>
      <c r="F356" s="157"/>
      <c r="G356" s="158"/>
      <c r="H356" s="158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3">
      <c r="A357" s="95"/>
      <c r="B357" s="95"/>
      <c r="C357" s="95"/>
      <c r="D357" s="156"/>
      <c r="E357" s="95"/>
      <c r="F357" s="157"/>
      <c r="G357" s="158"/>
      <c r="H357" s="158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3">
      <c r="A358" s="95"/>
      <c r="B358" s="95"/>
      <c r="C358" s="95"/>
      <c r="D358" s="156"/>
      <c r="E358" s="95"/>
      <c r="F358" s="157"/>
      <c r="G358" s="158"/>
      <c r="H358" s="158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3">
      <c r="A359" s="95"/>
      <c r="B359" s="95"/>
      <c r="C359" s="95"/>
      <c r="D359" s="156"/>
      <c r="E359" s="95"/>
      <c r="F359" s="157"/>
      <c r="G359" s="158"/>
      <c r="H359" s="158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3">
      <c r="A360" s="95"/>
      <c r="B360" s="95"/>
      <c r="C360" s="95"/>
      <c r="D360" s="156"/>
      <c r="E360" s="95"/>
      <c r="F360" s="157"/>
      <c r="G360" s="158"/>
      <c r="H360" s="158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3">
      <c r="A361" s="95"/>
      <c r="B361" s="95"/>
      <c r="C361" s="95"/>
      <c r="D361" s="156"/>
      <c r="E361" s="95"/>
      <c r="F361" s="157"/>
      <c r="G361" s="158"/>
      <c r="H361" s="158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5"/>
    <row r="363" spans="1:26" ht="15.75" customHeight="1" x14ac:dyDescent="0.25"/>
    <row r="364" spans="1:26" ht="15.75" customHeight="1" x14ac:dyDescent="0.25"/>
    <row r="365" spans="1:26" ht="15.75" customHeight="1" x14ac:dyDescent="0.25"/>
    <row r="366" spans="1:26" ht="15.75" customHeight="1" x14ac:dyDescent="0.25"/>
    <row r="367" spans="1:26" ht="15.75" customHeight="1" x14ac:dyDescent="0.25"/>
    <row r="368" spans="1:26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G161:G162"/>
    <mergeCell ref="H161:H162"/>
    <mergeCell ref="A118:B118"/>
    <mergeCell ref="A120:D120"/>
    <mergeCell ref="A149:B149"/>
    <mergeCell ref="A151:D151"/>
    <mergeCell ref="A160:B160"/>
    <mergeCell ref="A161:A162"/>
    <mergeCell ref="B161:B162"/>
    <mergeCell ref="A106:D106"/>
    <mergeCell ref="C161:C162"/>
    <mergeCell ref="D161:D162"/>
    <mergeCell ref="E161:E162"/>
    <mergeCell ref="F161:F162"/>
    <mergeCell ref="A65:B65"/>
    <mergeCell ref="A67:D67"/>
    <mergeCell ref="A88:B88"/>
    <mergeCell ref="A90:D90"/>
    <mergeCell ref="A104:B104"/>
    <mergeCell ref="A29:D29"/>
    <mergeCell ref="A44:B44"/>
    <mergeCell ref="A46:D46"/>
    <mergeCell ref="A54:D54"/>
    <mergeCell ref="A52:B52"/>
    <mergeCell ref="H2:H3"/>
    <mergeCell ref="A3:D3"/>
    <mergeCell ref="A14:D14"/>
    <mergeCell ref="A22:B22"/>
    <mergeCell ref="A24:D24"/>
    <mergeCell ref="A1:F1"/>
    <mergeCell ref="A2:D2"/>
    <mergeCell ref="E2:E3"/>
    <mergeCell ref="F2:F3"/>
    <mergeCell ref="G2:G3"/>
  </mergeCell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9.28515625" customWidth="1"/>
    <col min="4" max="4" width="16" customWidth="1"/>
    <col min="5" max="5" width="16.28515625" customWidth="1"/>
    <col min="6" max="6" width="9.7109375" customWidth="1"/>
    <col min="7" max="7" width="17.42578125" customWidth="1"/>
    <col min="8" max="8" width="17.7109375" customWidth="1"/>
    <col min="9" max="9" width="22" customWidth="1"/>
    <col min="10" max="10" width="16.140625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520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7.103748555779025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521</v>
      </c>
      <c r="C6" s="195">
        <f>276200+77500+50000</f>
        <v>403700</v>
      </c>
      <c r="D6" s="185">
        <f>C6/D3</f>
        <v>0.82262011741236352</v>
      </c>
      <c r="E6" s="186"/>
      <c r="F6" s="187"/>
      <c r="G6" s="188">
        <f>D6*G4</f>
        <v>137833.29115291114</v>
      </c>
      <c r="H6" s="189">
        <f t="shared" ref="H6:H8" si="0">C6-G6</f>
        <v>265866.70884708886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522</v>
      </c>
      <c r="C7" s="184">
        <f>515108</f>
        <v>515108</v>
      </c>
      <c r="D7" s="185">
        <f>C7/D3</f>
        <v>1.0496363721576611</v>
      </c>
      <c r="E7" s="191">
        <f>C7*(D29)</f>
        <v>166990.59657361585</v>
      </c>
      <c r="F7" s="192">
        <f>E7/D3</f>
        <v>0.34027699816732354</v>
      </c>
      <c r="G7" s="188">
        <f>F7*G4</f>
        <v>57014.772150927725</v>
      </c>
      <c r="H7" s="189">
        <f t="shared" si="0"/>
        <v>458093.22784907225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523</v>
      </c>
      <c r="C8" s="184">
        <v>414000</v>
      </c>
      <c r="D8" s="185">
        <f>C8/D3</f>
        <v>0.84360844342015984</v>
      </c>
      <c r="E8" s="191">
        <f>C8*D28</f>
        <v>283125.39907327306</v>
      </c>
      <c r="F8" s="192">
        <f>E8/D3</f>
        <v>0.57692506571235613</v>
      </c>
      <c r="G8" s="193">
        <f>F8*G4</f>
        <v>96666.102460368114</v>
      </c>
      <c r="H8" s="189">
        <f t="shared" si="0"/>
        <v>317333.89753963187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524</v>
      </c>
      <c r="C9" s="184">
        <f>760481</f>
        <v>760481</v>
      </c>
      <c r="D9" s="185">
        <f>C9/D3</f>
        <v>1.5496333156053299</v>
      </c>
      <c r="E9" s="186"/>
      <c r="F9" s="187"/>
      <c r="G9" s="188">
        <f>G4*D9</f>
        <v>259647.26056293544</v>
      </c>
      <c r="H9" s="189">
        <f>H4*D9</f>
        <v>500833.73943706462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525</v>
      </c>
      <c r="C10" s="184">
        <f>C44-(C11)</f>
        <v>280000</v>
      </c>
      <c r="D10" s="185">
        <f>C10/D3</f>
        <v>0.57055643516339305</v>
      </c>
      <c r="E10" s="186"/>
      <c r="F10" s="187"/>
      <c r="G10" s="188">
        <f>D10*G4</f>
        <v>95599.012937367166</v>
      </c>
      <c r="H10" s="189">
        <f t="shared" ref="H10:H15" si="1">C10-G10</f>
        <v>184400.98706263283</v>
      </c>
      <c r="I10" s="68"/>
      <c r="J10" s="68"/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43</v>
      </c>
      <c r="C11" s="184">
        <f>C40+C41</f>
        <v>48384.5</v>
      </c>
      <c r="D11" s="185">
        <f>C11/D3</f>
        <v>9.8593170847011399E-2</v>
      </c>
      <c r="E11" s="186"/>
      <c r="F11" s="187"/>
      <c r="G11" s="188">
        <v>0</v>
      </c>
      <c r="H11" s="189">
        <f t="shared" si="1"/>
        <v>48384.5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526</v>
      </c>
      <c r="C12" s="184">
        <f>C47</f>
        <v>11818</v>
      </c>
      <c r="D12" s="185">
        <f>C12/D3</f>
        <v>2.4081556967003499E-2</v>
      </c>
      <c r="E12" s="191">
        <f>C12*D28</f>
        <v>8082.0675513235292</v>
      </c>
      <c r="F12" s="192">
        <f>E12/D3</f>
        <v>1.6468841610117451E-2</v>
      </c>
      <c r="G12" s="188">
        <f>F12*G4</f>
        <v>2759.4202871416196</v>
      </c>
      <c r="H12" s="189">
        <f t="shared" si="1"/>
        <v>9058.5797128583799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95">
        <f>C48+C49+C50+C51</f>
        <v>146926</v>
      </c>
      <c r="D13" s="185">
        <f>C13/D3</f>
        <v>0.29939133854577393</v>
      </c>
      <c r="E13" s="191"/>
      <c r="F13" s="192"/>
      <c r="G13" s="188">
        <v>0</v>
      </c>
      <c r="H13" s="189">
        <f t="shared" si="1"/>
        <v>146926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527</v>
      </c>
      <c r="C14" s="195">
        <f>C74</f>
        <v>715350</v>
      </c>
      <c r="D14" s="196">
        <f>C14/D3</f>
        <v>1.4576698067647615</v>
      </c>
      <c r="E14" s="191">
        <f>C14*(D29)</f>
        <v>231906.1696943866</v>
      </c>
      <c r="F14" s="192">
        <f>E14/D3</f>
        <v>0.47255556240437901</v>
      </c>
      <c r="G14" s="188">
        <f>F14*G4</f>
        <v>79178.574703103324</v>
      </c>
      <c r="H14" s="189">
        <f t="shared" si="1"/>
        <v>636171.42529689672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528</v>
      </c>
      <c r="C15" s="184">
        <v>34200</v>
      </c>
      <c r="D15" s="185">
        <f>C15/D3</f>
        <v>6.9689393152100154E-2</v>
      </c>
      <c r="E15" s="186"/>
      <c r="F15" s="187"/>
      <c r="G15" s="188">
        <f>G4*D15</f>
        <v>11676.736580206989</v>
      </c>
      <c r="H15" s="189">
        <f t="shared" si="1"/>
        <v>22523.263419793009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30788.550000000003</v>
      </c>
      <c r="D16" s="185"/>
      <c r="E16" s="186"/>
      <c r="F16" s="187"/>
      <c r="G16" s="188"/>
      <c r="H16" s="189">
        <f>C16</f>
        <v>30788.550000000003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529</v>
      </c>
      <c r="C17" s="184">
        <f>C69</f>
        <v>101190</v>
      </c>
      <c r="D17" s="185">
        <f>C17/D3</f>
        <v>0.20619502026494196</v>
      </c>
      <c r="E17" s="186"/>
      <c r="F17" s="187"/>
      <c r="G17" s="188">
        <f>D17*G4</f>
        <v>34548.800425472087</v>
      </c>
      <c r="H17" s="189">
        <f>D17*H4</f>
        <v>66641.199574527913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530</v>
      </c>
      <c r="C18" s="318">
        <f>C81</f>
        <v>55000</v>
      </c>
      <c r="D18" s="319">
        <f>C18/D3</f>
        <v>0.11207358547852364</v>
      </c>
      <c r="E18" s="202"/>
      <c r="F18" s="203"/>
      <c r="G18" s="204">
        <f>D18*G4</f>
        <v>18778.37754126855</v>
      </c>
      <c r="H18" s="205">
        <f>C18-G18</f>
        <v>36221.62245873145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3516946.05</v>
      </c>
      <c r="D19" s="268"/>
      <c r="E19" s="269"/>
      <c r="F19" s="270"/>
      <c r="G19" s="271">
        <f t="shared" ref="G19:H19" si="2">SUM(G6:G18)</f>
        <v>793702.34880170214</v>
      </c>
      <c r="H19" s="272">
        <f t="shared" si="2"/>
        <v>2723243.7011982976</v>
      </c>
      <c r="I19" s="214"/>
      <c r="J19" s="250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3">C20-G20</f>
        <v>0</v>
      </c>
      <c r="I20" s="68"/>
      <c r="J20" s="250"/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3"/>
        <v>323195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4007695.05</v>
      </c>
      <c r="D22" s="282"/>
      <c r="E22" s="283"/>
      <c r="F22" s="284"/>
      <c r="G22" s="285">
        <f t="shared" ref="G22:H22" si="4">G19+G20+G21</f>
        <v>961256.34880170214</v>
      </c>
      <c r="H22" s="286">
        <f t="shared" si="4"/>
        <v>3046438.7011982976</v>
      </c>
      <c r="I22" s="68"/>
      <c r="J22" s="250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8.1664864319642021</v>
      </c>
      <c r="D23" s="290"/>
      <c r="E23" s="291"/>
      <c r="F23" s="292"/>
      <c r="G23" s="295">
        <f>(G19+G20+G21)/G4</f>
        <v>5.7369943349708281</v>
      </c>
      <c r="H23" s="294">
        <f>(H20+H21+H19)/H4</f>
        <v>9.4260081412097882</v>
      </c>
      <c r="I23" s="68"/>
      <c r="J23" s="197"/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4.2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21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171</v>
      </c>
      <c r="D33" s="192">
        <v>180.05</v>
      </c>
      <c r="E33" s="310">
        <f>C33*D33</f>
        <v>30788.550000000003</v>
      </c>
      <c r="F33" s="330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341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5000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531</v>
      </c>
      <c r="C39" s="310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5</v>
      </c>
      <c r="B40" s="187" t="s">
        <v>532</v>
      </c>
      <c r="C40" s="310">
        <v>43384.5</v>
      </c>
      <c r="D40" s="68" t="s">
        <v>384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6</v>
      </c>
      <c r="B41" s="187" t="s">
        <v>533</v>
      </c>
      <c r="C41" s="310">
        <v>5000</v>
      </c>
      <c r="D41" s="68" t="s">
        <v>384</v>
      </c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54">
        <v>7</v>
      </c>
      <c r="B42" s="187" t="s">
        <v>534</v>
      </c>
      <c r="C42" s="310">
        <v>144000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54"/>
      <c r="B43" s="187"/>
      <c r="C43" s="310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61"/>
      <c r="B44" s="311" t="s">
        <v>35</v>
      </c>
      <c r="C44" s="312">
        <f>SUM(C36:C42)</f>
        <v>328384.5</v>
      </c>
      <c r="D44" s="68"/>
      <c r="E44" s="214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2.75" customHeight="1" x14ac:dyDescent="0.25">
      <c r="A45" s="249"/>
      <c r="B45" s="68"/>
      <c r="C45" s="68"/>
      <c r="D45" s="68"/>
      <c r="E45" s="214"/>
      <c r="F45" s="68"/>
      <c r="G45" s="21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2.75" customHeight="1" x14ac:dyDescent="0.25">
      <c r="A46" s="261" t="s">
        <v>298</v>
      </c>
      <c r="B46" s="261" t="s">
        <v>472</v>
      </c>
      <c r="C46" s="261" t="s">
        <v>309</v>
      </c>
      <c r="D46" s="68"/>
      <c r="E46" s="214"/>
      <c r="F46" s="68"/>
      <c r="G46" s="21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2.75" customHeight="1" x14ac:dyDescent="0.25">
      <c r="A47" s="254">
        <v>1</v>
      </c>
      <c r="B47" s="187" t="s">
        <v>473</v>
      </c>
      <c r="C47" s="310">
        <v>11818</v>
      </c>
      <c r="D47" s="68"/>
      <c r="E47" s="214"/>
      <c r="F47" s="68"/>
      <c r="G47" s="214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2.75" customHeight="1" x14ac:dyDescent="0.25">
      <c r="A48" s="254">
        <v>2</v>
      </c>
      <c r="B48" s="187" t="s">
        <v>535</v>
      </c>
      <c r="C48" s="310">
        <v>11415</v>
      </c>
      <c r="D48" s="68" t="s">
        <v>384</v>
      </c>
      <c r="E48" s="214"/>
      <c r="F48" s="68"/>
      <c r="G48" s="214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2.75" customHeight="1" x14ac:dyDescent="0.25">
      <c r="A49" s="254">
        <v>3</v>
      </c>
      <c r="B49" s="187" t="s">
        <v>536</v>
      </c>
      <c r="C49" s="310">
        <v>135511</v>
      </c>
      <c r="D49" s="68" t="s">
        <v>384</v>
      </c>
      <c r="E49" s="214"/>
      <c r="F49" s="68"/>
      <c r="G49" s="214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2.75" customHeight="1" x14ac:dyDescent="0.25">
      <c r="A50" s="254">
        <v>4</v>
      </c>
      <c r="B50" s="187"/>
      <c r="C50" s="310"/>
      <c r="D50" s="68"/>
      <c r="E50" s="214"/>
      <c r="F50" s="68"/>
      <c r="G50" s="214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3.5" customHeight="1" x14ac:dyDescent="0.25">
      <c r="A51" s="254">
        <v>5</v>
      </c>
      <c r="B51" s="187"/>
      <c r="C51" s="310"/>
      <c r="D51" s="68"/>
      <c r="E51" s="214"/>
      <c r="F51" s="68"/>
      <c r="G51" s="214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3.5" customHeight="1" x14ac:dyDescent="0.25">
      <c r="A52" s="261"/>
      <c r="B52" s="311" t="s">
        <v>35</v>
      </c>
      <c r="C52" s="312">
        <f>SUM(C47:C51)</f>
        <v>158744</v>
      </c>
      <c r="D52" s="68"/>
      <c r="E52" s="214"/>
      <c r="F52" s="68"/>
      <c r="G52" s="214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3.5" customHeight="1" x14ac:dyDescent="0.25">
      <c r="A53" s="249"/>
      <c r="B53" s="68"/>
      <c r="C53" s="68"/>
      <c r="D53" s="68"/>
      <c r="E53" s="214"/>
      <c r="F53" s="68"/>
      <c r="G53" s="214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3.5" customHeight="1" x14ac:dyDescent="0.25">
      <c r="A54" s="261" t="s">
        <v>298</v>
      </c>
      <c r="B54" s="261" t="s">
        <v>122</v>
      </c>
      <c r="C54" s="261" t="s">
        <v>309</v>
      </c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54">
        <v>1</v>
      </c>
      <c r="B55" s="187" t="s">
        <v>537</v>
      </c>
      <c r="C55" s="310">
        <v>3706</v>
      </c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54">
        <v>2</v>
      </c>
      <c r="B56" s="187" t="s">
        <v>538</v>
      </c>
      <c r="C56" s="310">
        <v>20056</v>
      </c>
      <c r="D56" s="68"/>
      <c r="E56" s="68"/>
      <c r="F56" s="68"/>
      <c r="G56" s="329"/>
      <c r="H56" s="329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54">
        <v>3</v>
      </c>
      <c r="B57" s="187" t="s">
        <v>539</v>
      </c>
      <c r="C57" s="310">
        <v>8250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54">
        <v>4</v>
      </c>
      <c r="B58" s="187" t="s">
        <v>540</v>
      </c>
      <c r="C58" s="310">
        <v>41460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54">
        <v>5</v>
      </c>
      <c r="B59" s="187" t="s">
        <v>541</v>
      </c>
      <c r="C59" s="310">
        <v>27718</v>
      </c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6</v>
      </c>
      <c r="B60" s="187"/>
      <c r="C60" s="310">
        <v>0</v>
      </c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54">
        <v>7</v>
      </c>
      <c r="B61" s="187"/>
      <c r="C61" s="310">
        <v>0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54">
        <v>8</v>
      </c>
      <c r="B62" s="187"/>
      <c r="C62" s="310">
        <v>0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>
        <v>9</v>
      </c>
      <c r="B63" s="187"/>
      <c r="C63" s="310">
        <v>0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54">
        <v>10</v>
      </c>
      <c r="B64" s="187"/>
      <c r="C64" s="310">
        <v>0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54">
        <v>11</v>
      </c>
      <c r="B65" s="187"/>
      <c r="C65" s="310">
        <v>0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54">
        <v>12</v>
      </c>
      <c r="B66" s="187"/>
      <c r="C66" s="310">
        <v>0</v>
      </c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54"/>
      <c r="B67" s="187"/>
      <c r="C67" s="310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54"/>
      <c r="B68" s="187"/>
      <c r="C68" s="310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61"/>
      <c r="B69" s="311" t="s">
        <v>35</v>
      </c>
      <c r="C69" s="312">
        <f>SUM(C55:C68)</f>
        <v>101190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49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61" t="s">
        <v>298</v>
      </c>
      <c r="B71" s="313" t="s">
        <v>349</v>
      </c>
      <c r="C71" s="261" t="s">
        <v>309</v>
      </c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54">
        <v>1</v>
      </c>
      <c r="B72" s="187" t="s">
        <v>542</v>
      </c>
      <c r="C72" s="310">
        <v>72640</v>
      </c>
      <c r="D72" s="310"/>
      <c r="E72" s="68"/>
      <c r="F72" s="250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54">
        <v>2</v>
      </c>
      <c r="B73" s="187" t="s">
        <v>543</v>
      </c>
      <c r="C73" s="195">
        <v>642710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61"/>
      <c r="B74" s="311" t="s">
        <v>35</v>
      </c>
      <c r="C74" s="312">
        <f>SUM(C72:C73)</f>
        <v>715350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49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61" t="s">
        <v>298</v>
      </c>
      <c r="B76" s="328" t="s">
        <v>274</v>
      </c>
      <c r="C76" s="261" t="s">
        <v>309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3">
      <c r="A77" s="254">
        <v>1</v>
      </c>
      <c r="B77" s="187" t="s">
        <v>517</v>
      </c>
      <c r="C77" s="322">
        <v>1100000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3">
      <c r="A78" s="254">
        <v>2</v>
      </c>
      <c r="B78" s="187"/>
      <c r="C78" s="322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61"/>
      <c r="B79" s="311" t="s">
        <v>544</v>
      </c>
      <c r="C79" s="312">
        <v>55000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54"/>
      <c r="B80" s="311"/>
      <c r="C80" s="311">
        <f>C78/3</f>
        <v>0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54"/>
      <c r="B81" s="187"/>
      <c r="C81" s="327">
        <f>SUM(C79:C80)</f>
        <v>55000</v>
      </c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>
        <v>1100000</v>
      </c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>
        <f>C84/20</f>
        <v>55000</v>
      </c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3.5" customHeight="1" x14ac:dyDescent="0.25">
      <c r="A278" s="249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62"/>
      <c r="U278" s="162"/>
      <c r="V278" s="162"/>
      <c r="W278" s="162"/>
      <c r="X278" s="162"/>
      <c r="Y278" s="162"/>
      <c r="Z278" s="162"/>
    </row>
    <row r="279" spans="1:26" ht="13.5" customHeight="1" x14ac:dyDescent="0.25">
      <c r="A279" s="249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162"/>
      <c r="U279" s="162"/>
      <c r="V279" s="162"/>
      <c r="W279" s="162"/>
      <c r="X279" s="162"/>
      <c r="Y279" s="162"/>
      <c r="Z279" s="162"/>
    </row>
    <row r="280" spans="1:26" ht="13.5" customHeight="1" x14ac:dyDescent="0.25">
      <c r="A280" s="249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162"/>
      <c r="U280" s="162"/>
      <c r="V280" s="162"/>
      <c r="W280" s="162"/>
      <c r="X280" s="162"/>
      <c r="Y280" s="162"/>
      <c r="Z280" s="162"/>
    </row>
    <row r="281" spans="1:26" ht="13.5" customHeight="1" x14ac:dyDescent="0.25">
      <c r="A281" s="249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162"/>
      <c r="U281" s="162"/>
      <c r="V281" s="162"/>
      <c r="W281" s="162"/>
      <c r="X281" s="162"/>
      <c r="Y281" s="162"/>
      <c r="Z281" s="162"/>
    </row>
    <row r="282" spans="1:26" ht="13.5" customHeight="1" x14ac:dyDescent="0.25">
      <c r="A282" s="249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162"/>
      <c r="U282" s="162"/>
      <c r="V282" s="162"/>
      <c r="W282" s="162"/>
      <c r="X282" s="162"/>
      <c r="Y282" s="162"/>
      <c r="Z282" s="162"/>
    </row>
    <row r="283" spans="1:26" ht="13.5" customHeight="1" x14ac:dyDescent="0.25">
      <c r="A283" s="249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162"/>
      <c r="U283" s="162"/>
      <c r="V283" s="162"/>
      <c r="W283" s="162"/>
      <c r="X283" s="162"/>
      <c r="Y283" s="162"/>
      <c r="Z283" s="162"/>
    </row>
    <row r="284" spans="1:26" ht="13.5" customHeight="1" x14ac:dyDescent="0.25">
      <c r="A284" s="249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162"/>
      <c r="U284" s="162"/>
      <c r="V284" s="162"/>
      <c r="W284" s="162"/>
      <c r="X284" s="162"/>
      <c r="Y284" s="162"/>
      <c r="Z284" s="162"/>
    </row>
    <row r="285" spans="1:26" ht="13.5" customHeight="1" x14ac:dyDescent="0.25">
      <c r="A285" s="249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162"/>
      <c r="U285" s="162"/>
      <c r="V285" s="162"/>
      <c r="W285" s="162"/>
      <c r="X285" s="162"/>
      <c r="Y285" s="162"/>
      <c r="Z285" s="162"/>
    </row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dataValidations count="1">
    <dataValidation type="list" allowBlank="1" showErrorMessage="1" sqref="I14" xr:uid="{00000000-0002-0000-2700-000000000000}">
      <formula1>"Percentage basis,SFT basis"</formula1>
    </dataValidation>
  </dataValidation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9.28515625" customWidth="1"/>
    <col min="4" max="4" width="16" customWidth="1"/>
    <col min="5" max="5" width="33.28515625" customWidth="1"/>
    <col min="6" max="6" width="9.7109375" customWidth="1"/>
    <col min="7" max="7" width="17.42578125" customWidth="1"/>
    <col min="8" max="8" width="17.7109375" customWidth="1"/>
    <col min="9" max="9" width="22" customWidth="1"/>
    <col min="10" max="10" width="16.140625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545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6.7365786787135589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546</v>
      </c>
      <c r="C6" s="195">
        <f>276200+77500+50000</f>
        <v>403700</v>
      </c>
      <c r="D6" s="185">
        <f>C6/D3</f>
        <v>0.82262011741236352</v>
      </c>
      <c r="E6" s="186"/>
      <c r="F6" s="187"/>
      <c r="G6" s="188">
        <f>D6*G4</f>
        <v>137833.29115291114</v>
      </c>
      <c r="H6" s="189">
        <f t="shared" ref="H6:H8" si="0">C6-G6</f>
        <v>265866.70884708886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547</v>
      </c>
      <c r="C7" s="184">
        <f>473152</f>
        <v>473152</v>
      </c>
      <c r="D7" s="185">
        <f>C7/D3</f>
        <v>0.9641425657515349</v>
      </c>
      <c r="E7" s="191">
        <f>C7*(D29)</f>
        <v>153389.06549694334</v>
      </c>
      <c r="F7" s="192">
        <f>E7/D3</f>
        <v>0.31256113715350076</v>
      </c>
      <c r="G7" s="188">
        <f>F7*G4</f>
        <v>52370.868774617666</v>
      </c>
      <c r="H7" s="189">
        <f t="shared" si="0"/>
        <v>420781.13122538233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548</v>
      </c>
      <c r="C8" s="184">
        <v>524450.25</v>
      </c>
      <c r="D8" s="185">
        <f>C8/D3</f>
        <v>1.0686730895019654</v>
      </c>
      <c r="E8" s="191">
        <f>C8*D28</f>
        <v>358659.8703510334</v>
      </c>
      <c r="F8" s="192">
        <f>E8/D3</f>
        <v>0.73084177522732274</v>
      </c>
      <c r="G8" s="193">
        <f>F8*G4</f>
        <v>122455.46280643884</v>
      </c>
      <c r="H8" s="189">
        <f t="shared" si="0"/>
        <v>401994.78719356115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549</v>
      </c>
      <c r="C9" s="184">
        <f>713053</f>
        <v>713053</v>
      </c>
      <c r="D9" s="185">
        <f>C9/D3</f>
        <v>1.4529892062948677</v>
      </c>
      <c r="E9" s="186"/>
      <c r="F9" s="187"/>
      <c r="G9" s="188">
        <f>G4*D9</f>
        <v>243454.15347153027</v>
      </c>
      <c r="H9" s="189">
        <f>H4*D9</f>
        <v>469598.84652846976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550</v>
      </c>
      <c r="C10" s="184">
        <f>C45</f>
        <v>297850</v>
      </c>
      <c r="D10" s="185">
        <f>C10/D3</f>
        <v>0.60692940790505945</v>
      </c>
      <c r="E10" s="186"/>
      <c r="F10" s="187"/>
      <c r="G10" s="188">
        <f>D10*G4</f>
        <v>101693.45001212433</v>
      </c>
      <c r="H10" s="189">
        <f t="shared" ref="H10:H15" si="1">C10-G10</f>
        <v>196156.54998787568</v>
      </c>
      <c r="I10" s="68"/>
      <c r="J10" s="68"/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551</v>
      </c>
      <c r="C11" s="184">
        <f>C51</f>
        <v>22850</v>
      </c>
      <c r="D11" s="185">
        <f>C11/D3</f>
        <v>4.6561480512441189E-2</v>
      </c>
      <c r="E11" s="186"/>
      <c r="F11" s="187"/>
      <c r="G11" s="188">
        <v>0</v>
      </c>
      <c r="H11" s="189">
        <f t="shared" si="1"/>
        <v>22850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552</v>
      </c>
      <c r="C12" s="184">
        <f>C60</f>
        <v>95212</v>
      </c>
      <c r="D12" s="185">
        <f>C12/D3</f>
        <v>0.19401364037420352</v>
      </c>
      <c r="E12" s="191">
        <f>C12*D28</f>
        <v>65113.370764648491</v>
      </c>
      <c r="F12" s="192">
        <f>E12/D3</f>
        <v>0.13268161680339335</v>
      </c>
      <c r="G12" s="188">
        <f>F12*G4</f>
        <v>22231.335621875769</v>
      </c>
      <c r="H12" s="189">
        <f t="shared" si="1"/>
        <v>72980.664378124231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95"/>
      <c r="D13" s="185">
        <f>C13/D3</f>
        <v>0</v>
      </c>
      <c r="E13" s="191"/>
      <c r="F13" s="192"/>
      <c r="G13" s="188">
        <v>0</v>
      </c>
      <c r="H13" s="189">
        <f t="shared" si="1"/>
        <v>0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553</v>
      </c>
      <c r="C14" s="195">
        <f>C77</f>
        <v>686502</v>
      </c>
      <c r="D14" s="196">
        <f>C14/D3</f>
        <v>1.3988861923304989</v>
      </c>
      <c r="E14" s="191">
        <f>C14*(D29)</f>
        <v>222554.06347597091</v>
      </c>
      <c r="F14" s="192">
        <f>E14/D3</f>
        <v>0.45349876102849096</v>
      </c>
      <c r="G14" s="188">
        <f>F14*G4</f>
        <v>75985.531405367772</v>
      </c>
      <c r="H14" s="189">
        <f t="shared" si="1"/>
        <v>610516.46859463223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554</v>
      </c>
      <c r="C15" s="184">
        <v>34200</v>
      </c>
      <c r="D15" s="185">
        <f>C15/D3</f>
        <v>6.9689393152100154E-2</v>
      </c>
      <c r="E15" s="186"/>
      <c r="F15" s="187"/>
      <c r="G15" s="188">
        <f>G4*D15</f>
        <v>11676.736580206989</v>
      </c>
      <c r="H15" s="189">
        <f t="shared" si="1"/>
        <v>22523.263419793009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23946.65</v>
      </c>
      <c r="D16" s="185"/>
      <c r="E16" s="186"/>
      <c r="F16" s="187"/>
      <c r="G16" s="188"/>
      <c r="H16" s="189">
        <f t="shared" ref="H16:H17" si="2">C16</f>
        <v>23946.65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555</v>
      </c>
      <c r="C17" s="184">
        <f>C72</f>
        <v>88012</v>
      </c>
      <c r="D17" s="185"/>
      <c r="E17" s="186"/>
      <c r="F17" s="187"/>
      <c r="G17" s="188">
        <v>0</v>
      </c>
      <c r="H17" s="189">
        <f t="shared" si="2"/>
        <v>88012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556</v>
      </c>
      <c r="C18" s="318">
        <f>C84</f>
        <v>55000</v>
      </c>
      <c r="D18" s="319">
        <f>C18/D3</f>
        <v>0.11207358547852364</v>
      </c>
      <c r="E18" s="202"/>
      <c r="F18" s="203"/>
      <c r="G18" s="204">
        <f>D18*G4</f>
        <v>18778.37754126855</v>
      </c>
      <c r="H18" s="205">
        <f>C18-G18</f>
        <v>36221.62245873145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3417927.9</v>
      </c>
      <c r="D19" s="268"/>
      <c r="E19" s="269"/>
      <c r="F19" s="270"/>
      <c r="G19" s="271">
        <f t="shared" ref="G19:H19" si="3">SUM(G6:G18)</f>
        <v>786479.20736634149</v>
      </c>
      <c r="H19" s="272">
        <f t="shared" si="3"/>
        <v>2631448.6926336586</v>
      </c>
      <c r="I19" s="214"/>
      <c r="J19" s="250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4">C20-G20</f>
        <v>0</v>
      </c>
      <c r="I20" s="68"/>
      <c r="J20" s="250"/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4"/>
        <v>323195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3908676.9</v>
      </c>
      <c r="D22" s="282"/>
      <c r="E22" s="283"/>
      <c r="F22" s="284"/>
      <c r="G22" s="285">
        <f t="shared" ref="G22:H22" si="5">G19+G20+G21</f>
        <v>954033.20736634149</v>
      </c>
      <c r="H22" s="286">
        <f t="shared" si="5"/>
        <v>2954643.6926336586</v>
      </c>
      <c r="I22" s="68"/>
      <c r="J22" s="250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7.9647169938196507</v>
      </c>
      <c r="D23" s="290"/>
      <c r="E23" s="291"/>
      <c r="F23" s="292"/>
      <c r="G23" s="295">
        <f>(G19+G20+G21)/G4</f>
        <v>5.693885000455623</v>
      </c>
      <c r="H23" s="294">
        <f>(H20+H21+H19)/H4</f>
        <v>9.1419845376124584</v>
      </c>
      <c r="I23" s="68"/>
      <c r="J23" s="197"/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4.2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22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133</v>
      </c>
      <c r="D33" s="192">
        <v>180.05</v>
      </c>
      <c r="E33" s="310">
        <f>C33*D33</f>
        <v>23946.65</v>
      </c>
      <c r="F33" s="330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557</v>
      </c>
      <c r="C35" s="261" t="s">
        <v>309</v>
      </c>
      <c r="D35" s="68"/>
      <c r="E35" s="331"/>
      <c r="F35" s="331"/>
      <c r="G35" s="331"/>
      <c r="H35" s="332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45"/>
      <c r="F36" s="45"/>
      <c r="G36" s="333"/>
      <c r="H36" s="332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5000</v>
      </c>
      <c r="D37" s="68"/>
      <c r="E37" s="45"/>
      <c r="F37" s="45"/>
      <c r="G37" s="332"/>
      <c r="H37" s="332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45"/>
      <c r="F38" s="45"/>
      <c r="G38" s="45"/>
      <c r="H38" s="332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531</v>
      </c>
      <c r="C39" s="310">
        <v>80000</v>
      </c>
      <c r="D39" s="68"/>
      <c r="E39" s="45"/>
      <c r="F39" s="45"/>
      <c r="G39" s="333"/>
      <c r="H39" s="332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7</v>
      </c>
      <c r="B40" s="187" t="s">
        <v>558</v>
      </c>
      <c r="C40" s="310">
        <f>24000*4</f>
        <v>96000</v>
      </c>
      <c r="D40" s="68"/>
      <c r="E40" s="45"/>
      <c r="F40" s="45"/>
      <c r="G40" s="45"/>
      <c r="H40" s="332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8</v>
      </c>
      <c r="B41" s="187" t="s">
        <v>410</v>
      </c>
      <c r="C41" s="310">
        <v>64050</v>
      </c>
      <c r="D41" s="68"/>
      <c r="E41" s="45"/>
      <c r="F41" s="45"/>
      <c r="G41" s="45"/>
      <c r="H41" s="332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54">
        <v>9</v>
      </c>
      <c r="B42" s="187" t="s">
        <v>559</v>
      </c>
      <c r="C42" s="310">
        <v>1800</v>
      </c>
      <c r="D42" s="68"/>
      <c r="E42" s="45"/>
      <c r="F42" s="45"/>
      <c r="G42" s="45"/>
      <c r="H42" s="332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54"/>
      <c r="B43" s="187"/>
      <c r="C43" s="310"/>
      <c r="D43" s="68"/>
      <c r="E43" s="45"/>
      <c r="F43" s="45"/>
      <c r="G43" s="45"/>
      <c r="H43" s="332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54"/>
      <c r="B44" s="187"/>
      <c r="C44" s="310"/>
      <c r="D44" s="68"/>
      <c r="E44" s="45"/>
      <c r="F44" s="45"/>
      <c r="G44" s="45"/>
      <c r="H44" s="332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261"/>
      <c r="B45" s="311" t="s">
        <v>35</v>
      </c>
      <c r="C45" s="312">
        <f>SUM(C36:C44)</f>
        <v>297850</v>
      </c>
      <c r="D45" s="68"/>
      <c r="E45" s="334"/>
      <c r="F45" s="45"/>
      <c r="G45" s="45"/>
      <c r="H45" s="332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335"/>
      <c r="B46" s="336"/>
      <c r="C46" s="337"/>
      <c r="D46" s="68"/>
      <c r="E46" s="334"/>
      <c r="F46" s="45"/>
      <c r="G46" s="45"/>
      <c r="H46" s="332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61" t="s">
        <v>298</v>
      </c>
      <c r="B47" s="261" t="s">
        <v>560</v>
      </c>
      <c r="C47" s="261" t="s">
        <v>309</v>
      </c>
      <c r="D47" s="68"/>
      <c r="E47" s="334"/>
      <c r="F47" s="45"/>
      <c r="G47" s="45"/>
      <c r="H47" s="332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54">
        <v>1</v>
      </c>
      <c r="B48" s="187" t="s">
        <v>532</v>
      </c>
      <c r="C48" s="310">
        <v>22850</v>
      </c>
      <c r="D48" s="68"/>
      <c r="E48" s="334"/>
      <c r="F48" s="45"/>
      <c r="G48" s="45"/>
      <c r="H48" s="332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54">
        <v>2</v>
      </c>
      <c r="B49" s="187" t="s">
        <v>533</v>
      </c>
      <c r="C49" s="310">
        <v>0</v>
      </c>
      <c r="D49" s="68"/>
      <c r="E49" s="334"/>
      <c r="F49" s="45"/>
      <c r="G49" s="45"/>
      <c r="H49" s="332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3.5" customHeight="1" x14ac:dyDescent="0.25">
      <c r="A50" s="254"/>
      <c r="B50" s="187"/>
      <c r="C50" s="310"/>
      <c r="D50" s="68"/>
      <c r="E50" s="334"/>
      <c r="F50" s="45"/>
      <c r="G50" s="45"/>
      <c r="H50" s="332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3.5" customHeight="1" x14ac:dyDescent="0.25">
      <c r="A51" s="261"/>
      <c r="B51" s="311" t="s">
        <v>35</v>
      </c>
      <c r="C51" s="312">
        <f>SUM(C48:C50)</f>
        <v>22850</v>
      </c>
      <c r="D51" s="68"/>
      <c r="E51" s="334"/>
      <c r="F51" s="45"/>
      <c r="G51" s="45"/>
      <c r="H51" s="332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3.5" customHeight="1" x14ac:dyDescent="0.25">
      <c r="A52" s="335"/>
      <c r="B52" s="336"/>
      <c r="C52" s="337"/>
      <c r="D52" s="68"/>
      <c r="E52" s="334"/>
      <c r="F52" s="45"/>
      <c r="G52" s="45"/>
      <c r="H52" s="332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2.75" customHeight="1" x14ac:dyDescent="0.25">
      <c r="A53" s="249"/>
      <c r="B53" s="68"/>
      <c r="C53" s="68"/>
      <c r="D53" s="68"/>
      <c r="E53" s="334"/>
      <c r="F53" s="45"/>
      <c r="G53" s="333"/>
      <c r="H53" s="332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2.75" customHeight="1" x14ac:dyDescent="0.25">
      <c r="A54" s="261" t="s">
        <v>298</v>
      </c>
      <c r="B54" s="261" t="s">
        <v>472</v>
      </c>
      <c r="C54" s="261" t="s">
        <v>309</v>
      </c>
      <c r="D54" s="68"/>
      <c r="E54" s="334"/>
      <c r="F54" s="45"/>
      <c r="G54" s="334"/>
      <c r="H54" s="332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2.75" customHeight="1" x14ac:dyDescent="0.25">
      <c r="A55" s="254">
        <v>1</v>
      </c>
      <c r="B55" s="187" t="s">
        <v>561</v>
      </c>
      <c r="C55" s="310">
        <v>5000</v>
      </c>
      <c r="D55" s="68"/>
      <c r="E55" s="334"/>
      <c r="F55" s="45"/>
      <c r="G55" s="334"/>
      <c r="H55" s="332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2.75" customHeight="1" x14ac:dyDescent="0.25">
      <c r="A56" s="254">
        <v>2</v>
      </c>
      <c r="B56" s="187" t="s">
        <v>562</v>
      </c>
      <c r="C56" s="310">
        <v>17600</v>
      </c>
      <c r="D56" s="68"/>
      <c r="E56" s="334"/>
      <c r="F56" s="45"/>
      <c r="G56" s="334"/>
      <c r="H56" s="332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2.75" customHeight="1" x14ac:dyDescent="0.25">
      <c r="A57" s="254">
        <v>3</v>
      </c>
      <c r="B57" s="187" t="s">
        <v>562</v>
      </c>
      <c r="C57" s="310">
        <v>56000</v>
      </c>
      <c r="D57" s="68"/>
      <c r="E57" s="334"/>
      <c r="F57" s="45"/>
      <c r="G57" s="334"/>
      <c r="H57" s="332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54">
        <v>4</v>
      </c>
      <c r="B58" s="187" t="s">
        <v>563</v>
      </c>
      <c r="C58" s="310">
        <v>15500</v>
      </c>
      <c r="D58" s="68"/>
      <c r="E58" s="334"/>
      <c r="F58" s="45"/>
      <c r="G58" s="334"/>
      <c r="H58" s="332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54">
        <v>5</v>
      </c>
      <c r="B59" s="187" t="s">
        <v>564</v>
      </c>
      <c r="C59" s="310">
        <v>1112</v>
      </c>
      <c r="D59" s="68"/>
      <c r="E59" s="334"/>
      <c r="F59" s="45"/>
      <c r="G59" s="334"/>
      <c r="H59" s="332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61"/>
      <c r="B60" s="311" t="s">
        <v>35</v>
      </c>
      <c r="C60" s="312">
        <f>SUM(C55:C59)</f>
        <v>95212</v>
      </c>
      <c r="D60" s="68"/>
      <c r="E60" s="334"/>
      <c r="F60" s="45"/>
      <c r="G60" s="334"/>
      <c r="H60" s="332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49"/>
      <c r="B61" s="68"/>
      <c r="C61" s="68"/>
      <c r="D61" s="68"/>
      <c r="E61" s="334"/>
      <c r="F61" s="45"/>
      <c r="G61" s="334"/>
      <c r="H61" s="332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61" t="s">
        <v>298</v>
      </c>
      <c r="B62" s="261" t="s">
        <v>122</v>
      </c>
      <c r="C62" s="261" t="s">
        <v>309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>
        <v>1</v>
      </c>
      <c r="B63" s="187" t="s">
        <v>537</v>
      </c>
      <c r="C63" s="310">
        <v>3706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54">
        <v>2</v>
      </c>
      <c r="B64" s="187" t="s">
        <v>565</v>
      </c>
      <c r="C64" s="338">
        <v>13313</v>
      </c>
      <c r="D64" s="68"/>
      <c r="E64" s="68"/>
      <c r="F64" s="68"/>
      <c r="G64" s="329"/>
      <c r="H64" s="329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54">
        <v>3</v>
      </c>
      <c r="B65" s="187" t="s">
        <v>566</v>
      </c>
      <c r="C65" s="338">
        <v>17000</v>
      </c>
      <c r="D65" s="68"/>
      <c r="E65" s="68"/>
      <c r="F65" s="339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54">
        <v>4</v>
      </c>
      <c r="B66" s="187" t="s">
        <v>563</v>
      </c>
      <c r="C66" s="338">
        <v>32400</v>
      </c>
      <c r="D66" s="68"/>
      <c r="E66" s="68"/>
      <c r="F66" s="339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54">
        <v>5</v>
      </c>
      <c r="B67" s="187" t="s">
        <v>567</v>
      </c>
      <c r="C67" s="338">
        <v>2373</v>
      </c>
      <c r="D67" s="68"/>
      <c r="E67" s="68"/>
      <c r="F67" s="339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54">
        <v>6</v>
      </c>
      <c r="B68" s="187" t="s">
        <v>568</v>
      </c>
      <c r="C68" s="338">
        <v>7890</v>
      </c>
      <c r="D68" s="68"/>
      <c r="E68" s="68"/>
      <c r="F68" s="339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54">
        <v>7</v>
      </c>
      <c r="B69" s="187" t="s">
        <v>569</v>
      </c>
      <c r="C69" s="338">
        <v>7000</v>
      </c>
      <c r="D69" s="68"/>
      <c r="E69" s="68"/>
      <c r="F69" s="339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54">
        <v>8</v>
      </c>
      <c r="B70" s="187" t="s">
        <v>564</v>
      </c>
      <c r="C70" s="338">
        <v>4330</v>
      </c>
      <c r="D70" s="68"/>
      <c r="E70" s="68"/>
      <c r="F70" s="339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54"/>
      <c r="B71" s="187"/>
      <c r="C71" s="310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61"/>
      <c r="B72" s="311" t="s">
        <v>35</v>
      </c>
      <c r="C72" s="312">
        <f>SUM(C63:C71)</f>
        <v>88012</v>
      </c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49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61" t="s">
        <v>298</v>
      </c>
      <c r="B74" s="313" t="s">
        <v>349</v>
      </c>
      <c r="C74" s="261" t="s">
        <v>309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54">
        <v>1</v>
      </c>
      <c r="B75" s="187" t="s">
        <v>570</v>
      </c>
      <c r="C75" s="195">
        <v>22961</v>
      </c>
      <c r="D75" s="68"/>
      <c r="E75" s="68"/>
      <c r="F75" s="250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54">
        <v>2</v>
      </c>
      <c r="B76" s="187" t="s">
        <v>571</v>
      </c>
      <c r="C76" s="310">
        <v>663541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61"/>
      <c r="B77" s="311" t="s">
        <v>35</v>
      </c>
      <c r="C77" s="312">
        <f>SUM(C75:C76)</f>
        <v>686502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49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61" t="s">
        <v>298</v>
      </c>
      <c r="B79" s="328" t="s">
        <v>274</v>
      </c>
      <c r="C79" s="261" t="s">
        <v>309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54">
        <v>1</v>
      </c>
      <c r="B80" s="187" t="s">
        <v>517</v>
      </c>
      <c r="C80" s="338">
        <v>1100000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3">
      <c r="A81" s="254">
        <v>2</v>
      </c>
      <c r="B81" s="187"/>
      <c r="C81" s="322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61"/>
      <c r="B82" s="311" t="s">
        <v>572</v>
      </c>
      <c r="C82" s="312">
        <v>55000</v>
      </c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54"/>
      <c r="B83" s="311"/>
      <c r="C83" s="311">
        <f>C81/3</f>
        <v>0</v>
      </c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54"/>
      <c r="B84" s="187"/>
      <c r="C84" s="327">
        <f>SUM(C82:C83)</f>
        <v>55000</v>
      </c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3.5" customHeight="1" x14ac:dyDescent="0.25">
      <c r="A278" s="249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62"/>
      <c r="U278" s="162"/>
      <c r="V278" s="162"/>
      <c r="W278" s="162"/>
      <c r="X278" s="162"/>
      <c r="Y278" s="162"/>
      <c r="Z278" s="162"/>
    </row>
    <row r="279" spans="1:26" ht="13.5" customHeight="1" x14ac:dyDescent="0.25">
      <c r="A279" s="249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162"/>
      <c r="U279" s="162"/>
      <c r="V279" s="162"/>
      <c r="W279" s="162"/>
      <c r="X279" s="162"/>
      <c r="Y279" s="162"/>
      <c r="Z279" s="162"/>
    </row>
    <row r="280" spans="1:26" ht="13.5" customHeight="1" x14ac:dyDescent="0.25">
      <c r="A280" s="249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162"/>
      <c r="U280" s="162"/>
      <c r="V280" s="162"/>
      <c r="W280" s="162"/>
      <c r="X280" s="162"/>
      <c r="Y280" s="162"/>
      <c r="Z280" s="162"/>
    </row>
    <row r="281" spans="1:26" ht="13.5" customHeight="1" x14ac:dyDescent="0.25">
      <c r="A281" s="249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162"/>
      <c r="U281" s="162"/>
      <c r="V281" s="162"/>
      <c r="W281" s="162"/>
      <c r="X281" s="162"/>
      <c r="Y281" s="162"/>
      <c r="Z281" s="162"/>
    </row>
    <row r="282" spans="1:26" ht="13.5" customHeight="1" x14ac:dyDescent="0.25">
      <c r="A282" s="249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162"/>
      <c r="U282" s="162"/>
      <c r="V282" s="162"/>
      <c r="W282" s="162"/>
      <c r="X282" s="162"/>
      <c r="Y282" s="162"/>
      <c r="Z282" s="162"/>
    </row>
    <row r="283" spans="1:26" ht="13.5" customHeight="1" x14ac:dyDescent="0.25">
      <c r="A283" s="249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162"/>
      <c r="U283" s="162"/>
      <c r="V283" s="162"/>
      <c r="W283" s="162"/>
      <c r="X283" s="162"/>
      <c r="Y283" s="162"/>
      <c r="Z283" s="162"/>
    </row>
    <row r="284" spans="1:26" ht="13.5" customHeight="1" x14ac:dyDescent="0.25">
      <c r="A284" s="249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162"/>
      <c r="U284" s="162"/>
      <c r="V284" s="162"/>
      <c r="W284" s="162"/>
      <c r="X284" s="162"/>
      <c r="Y284" s="162"/>
      <c r="Z284" s="162"/>
    </row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dataValidations count="1">
    <dataValidation type="list" allowBlank="1" showErrorMessage="1" sqref="I14" xr:uid="{00000000-0002-0000-2800-000000000000}">
      <formula1>"Percentage basis,SFT basis"</formula1>
    </dataValidation>
  </dataValidation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9.28515625" customWidth="1"/>
    <col min="4" max="4" width="16" customWidth="1"/>
    <col min="5" max="5" width="16.28515625" customWidth="1"/>
    <col min="6" max="6" width="9.7109375" customWidth="1"/>
    <col min="7" max="7" width="47.7109375" customWidth="1"/>
    <col min="8" max="8" width="17.7109375" customWidth="1"/>
    <col min="9" max="9" width="22" customWidth="1"/>
    <col min="10" max="10" width="16.140625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573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6.8181512952649914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574</v>
      </c>
      <c r="C6" s="195">
        <f>275877
+77500+50000</f>
        <v>403377</v>
      </c>
      <c r="D6" s="185">
        <f>C6/D3</f>
        <v>0.82196193981037147</v>
      </c>
      <c r="E6" s="186"/>
      <c r="F6" s="187"/>
      <c r="G6" s="188">
        <f>D6*G4</f>
        <v>137723.01086298699</v>
      </c>
      <c r="H6" s="189">
        <f t="shared" ref="H6:H8" si="0">C6-G6</f>
        <v>265653.98913701298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575</v>
      </c>
      <c r="C7" s="184">
        <f>469303</f>
        <v>469303</v>
      </c>
      <c r="D7" s="185">
        <f>C7/D3</f>
        <v>0.95629945246959236</v>
      </c>
      <c r="E7" s="191">
        <f>C7*(D29)</f>
        <v>152141.2751185919</v>
      </c>
      <c r="F7" s="192">
        <f>E7/D3</f>
        <v>0.31001851276027442</v>
      </c>
      <c r="G7" s="188">
        <f>F7*G4</f>
        <v>51944.841887035022</v>
      </c>
      <c r="H7" s="189">
        <f t="shared" si="0"/>
        <v>417358.158112965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576</v>
      </c>
      <c r="C8" s="184">
        <v>620526</v>
      </c>
      <c r="D8" s="185">
        <f>C8/D3</f>
        <v>1.2644467945935702</v>
      </c>
      <c r="E8" s="191">
        <f>C8*D28</f>
        <v>424363.94054430397</v>
      </c>
      <c r="F8" s="192">
        <f>E8/D3</f>
        <v>0.86472706117445775</v>
      </c>
      <c r="G8" s="193">
        <f>F8*G4</f>
        <v>144888.47800802509</v>
      </c>
      <c r="H8" s="189">
        <f t="shared" si="0"/>
        <v>475637.52199197491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577</v>
      </c>
      <c r="C9" s="184">
        <f>685071</f>
        <v>685071</v>
      </c>
      <c r="D9" s="185">
        <f>C9/D3</f>
        <v>1.3959702414065032</v>
      </c>
      <c r="E9" s="186"/>
      <c r="F9" s="187"/>
      <c r="G9" s="188">
        <f>G4*D9</f>
        <v>233900.39782862522</v>
      </c>
      <c r="H9" s="189">
        <f>H4*D9</f>
        <v>451170.60217137478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550</v>
      </c>
      <c r="C10" s="184">
        <f>C44</f>
        <v>161800</v>
      </c>
      <c r="D10" s="185">
        <f>C10/D3</f>
        <v>0.32970011146227501</v>
      </c>
      <c r="E10" s="186"/>
      <c r="F10" s="187"/>
      <c r="G10" s="188">
        <f>D10*G4</f>
        <v>55242.57247595003</v>
      </c>
      <c r="H10" s="189">
        <f t="shared" ref="H10:H15" si="1">C10-G10</f>
        <v>106557.42752404997</v>
      </c>
      <c r="I10" s="68"/>
      <c r="J10" s="68"/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551</v>
      </c>
      <c r="C11" s="184">
        <f>C49</f>
        <v>38461.4</v>
      </c>
      <c r="D11" s="185">
        <f>C11/D3</f>
        <v>7.8372854554976168E-2</v>
      </c>
      <c r="E11" s="186"/>
      <c r="F11" s="187"/>
      <c r="G11" s="188">
        <v>0</v>
      </c>
      <c r="H11" s="189">
        <f t="shared" si="1"/>
        <v>38461.4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578</v>
      </c>
      <c r="C12" s="184">
        <f>C60</f>
        <v>85319.08</v>
      </c>
      <c r="D12" s="185">
        <f>C12/D3</f>
        <v>0.17385482191507268</v>
      </c>
      <c r="E12" s="191">
        <f>C12*D28</f>
        <v>58347.822641460174</v>
      </c>
      <c r="F12" s="192">
        <f>E12/D3</f>
        <v>0.11889544887806226</v>
      </c>
      <c r="G12" s="188">
        <f>F12*G4</f>
        <v>19921.408041314844</v>
      </c>
      <c r="H12" s="189">
        <f t="shared" si="1"/>
        <v>65397.671958685154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95"/>
      <c r="D13" s="185">
        <f>C13/D3</f>
        <v>0</v>
      </c>
      <c r="E13" s="191"/>
      <c r="F13" s="192"/>
      <c r="G13" s="188">
        <v>0</v>
      </c>
      <c r="H13" s="189">
        <f t="shared" si="1"/>
        <v>0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579</v>
      </c>
      <c r="C14" s="195">
        <f>C71</f>
        <v>672812</v>
      </c>
      <c r="D14" s="196">
        <f>C14/D3</f>
        <v>1.3709900580541172</v>
      </c>
      <c r="E14" s="191">
        <f>C14*(D29)</f>
        <v>218115.9625979166</v>
      </c>
      <c r="F14" s="192">
        <f>E14/D3</f>
        <v>0.44445523597178316</v>
      </c>
      <c r="G14" s="188">
        <f>F14*G4</f>
        <v>74470.252608016162</v>
      </c>
      <c r="H14" s="189">
        <f t="shared" si="1"/>
        <v>598341.74739198387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580</v>
      </c>
      <c r="C15" s="184">
        <v>154331.45000000001</v>
      </c>
      <c r="D15" s="185">
        <f>C15/D3</f>
        <v>0.31448143551999092</v>
      </c>
      <c r="E15" s="186"/>
      <c r="F15" s="187"/>
      <c r="G15" s="188">
        <f>G4*D15</f>
        <v>52692.622447116555</v>
      </c>
      <c r="H15" s="189">
        <f t="shared" si="1"/>
        <v>101638.82755288345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23946.65</v>
      </c>
      <c r="D16" s="185"/>
      <c r="E16" s="186"/>
      <c r="F16" s="187"/>
      <c r="G16" s="188"/>
      <c r="H16" s="189">
        <f t="shared" ref="H16:H17" si="2">C16</f>
        <v>23946.65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581</v>
      </c>
      <c r="C17" s="184">
        <f>C66</f>
        <v>28236.32</v>
      </c>
      <c r="D17" s="185"/>
      <c r="E17" s="186"/>
      <c r="F17" s="187"/>
      <c r="G17" s="188">
        <v>0</v>
      </c>
      <c r="H17" s="189">
        <f t="shared" si="2"/>
        <v>28236.32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582</v>
      </c>
      <c r="C18" s="318">
        <f>C78</f>
        <v>55000</v>
      </c>
      <c r="D18" s="319">
        <f>C18/D3</f>
        <v>0.11207358547852364</v>
      </c>
      <c r="E18" s="202"/>
      <c r="F18" s="203"/>
      <c r="G18" s="204">
        <f>D18*G4</f>
        <v>18778.37754126855</v>
      </c>
      <c r="H18" s="205">
        <f>C18-G18</f>
        <v>36221.62245873145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3398183.9</v>
      </c>
      <c r="D19" s="268"/>
      <c r="E19" s="269"/>
      <c r="F19" s="270"/>
      <c r="G19" s="271">
        <f t="shared" ref="G19:H19" si="3">SUM(G6:G18)</f>
        <v>789561.9617003384</v>
      </c>
      <c r="H19" s="272">
        <f t="shared" si="3"/>
        <v>2608621.938299661</v>
      </c>
      <c r="I19" s="214"/>
      <c r="J19" s="250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4">C20-G20</f>
        <v>0</v>
      </c>
      <c r="I20" s="68"/>
      <c r="J20" s="250"/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4"/>
        <v>323195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3888932.9</v>
      </c>
      <c r="D22" s="282"/>
      <c r="E22" s="283"/>
      <c r="F22" s="284"/>
      <c r="G22" s="285">
        <f t="shared" ref="G22:H22" si="5">G19+G20+G21</f>
        <v>957115.9617003384</v>
      </c>
      <c r="H22" s="286">
        <f t="shared" si="5"/>
        <v>2931816.938299661</v>
      </c>
      <c r="I22" s="68"/>
      <c r="J22" s="250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7.924484614334415</v>
      </c>
      <c r="D23" s="290"/>
      <c r="E23" s="291"/>
      <c r="F23" s="292"/>
      <c r="G23" s="295">
        <f>(G19+G20+G21)/G4</f>
        <v>5.7122835724622414</v>
      </c>
      <c r="H23" s="294">
        <f>(H20+H21+H19)/H4</f>
        <v>9.0713561110155201</v>
      </c>
      <c r="I23" s="68"/>
      <c r="J23" s="197"/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4.2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23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133</v>
      </c>
      <c r="D33" s="192">
        <v>180.05</v>
      </c>
      <c r="E33" s="310">
        <f>C33*D33</f>
        <v>23946.65</v>
      </c>
      <c r="F33" s="330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557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5000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531</v>
      </c>
      <c r="C39" s="310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5</v>
      </c>
      <c r="B40" s="187" t="s">
        <v>583</v>
      </c>
      <c r="C40" s="310">
        <v>24000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6</v>
      </c>
      <c r="B41" s="187" t="s">
        <v>410</v>
      </c>
      <c r="C41" s="310">
        <v>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2.75" customHeight="1" x14ac:dyDescent="0.25">
      <c r="A42" s="254">
        <v>4</v>
      </c>
      <c r="B42" s="310" t="s">
        <v>559</v>
      </c>
      <c r="C42" s="338">
        <v>1800</v>
      </c>
      <c r="D42" s="68"/>
      <c r="E42" s="214"/>
      <c r="F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2.75" customHeight="1" x14ac:dyDescent="0.25">
      <c r="A43" s="254"/>
      <c r="B43" s="310"/>
      <c r="C43" s="338"/>
      <c r="D43" s="68"/>
      <c r="E43" s="214"/>
      <c r="F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61"/>
      <c r="B44" s="311" t="s">
        <v>35</v>
      </c>
      <c r="C44" s="312">
        <f>SUM(C36:C43)</f>
        <v>161800</v>
      </c>
      <c r="D44" s="68"/>
      <c r="E44" s="214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335"/>
      <c r="B45" s="336"/>
      <c r="C45" s="337"/>
      <c r="D45" s="68"/>
      <c r="E45" s="214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61" t="s">
        <v>298</v>
      </c>
      <c r="B46" s="261" t="s">
        <v>560</v>
      </c>
      <c r="C46" s="261" t="s">
        <v>309</v>
      </c>
      <c r="D46" s="68"/>
      <c r="E46" s="214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54">
        <v>1</v>
      </c>
      <c r="B47" s="187" t="s">
        <v>532</v>
      </c>
      <c r="C47" s="310">
        <v>33461.4</v>
      </c>
      <c r="D47" s="68"/>
      <c r="E47" s="214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54">
        <v>2</v>
      </c>
      <c r="B48" s="187" t="s">
        <v>533</v>
      </c>
      <c r="C48" s="310">
        <v>5000</v>
      </c>
      <c r="D48" s="68"/>
      <c r="E48" s="214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61"/>
      <c r="B49" s="311" t="s">
        <v>35</v>
      </c>
      <c r="C49" s="312">
        <f>SUM(C47:C48)</f>
        <v>38461.4</v>
      </c>
      <c r="D49" s="68"/>
      <c r="E49" s="214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2.75" customHeight="1" x14ac:dyDescent="0.25">
      <c r="A50" s="249"/>
      <c r="B50" s="68"/>
      <c r="C50" s="68"/>
      <c r="D50" s="68"/>
      <c r="E50" s="214"/>
      <c r="F50" s="68"/>
      <c r="G50" s="214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2.75" customHeight="1" x14ac:dyDescent="0.25">
      <c r="A51" s="261" t="s">
        <v>298</v>
      </c>
      <c r="B51" s="261" t="s">
        <v>472</v>
      </c>
      <c r="C51" s="261" t="s">
        <v>309</v>
      </c>
      <c r="D51" s="68"/>
      <c r="E51" s="214"/>
      <c r="F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2.75" customHeight="1" x14ac:dyDescent="0.25">
      <c r="A52" s="254">
        <v>1</v>
      </c>
      <c r="B52" s="310" t="s">
        <v>584</v>
      </c>
      <c r="C52" s="338">
        <v>5325.51</v>
      </c>
      <c r="D52" s="68"/>
      <c r="E52" s="214"/>
      <c r="F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2.75" customHeight="1" x14ac:dyDescent="0.25">
      <c r="A53" s="254">
        <v>2</v>
      </c>
      <c r="B53" s="310" t="s">
        <v>584</v>
      </c>
      <c r="C53" s="338">
        <v>2596.5700000000002</v>
      </c>
      <c r="D53" s="68"/>
      <c r="E53" s="214"/>
      <c r="F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2.75" customHeight="1" x14ac:dyDescent="0.25">
      <c r="A54" s="254">
        <v>3</v>
      </c>
      <c r="B54" s="310" t="s">
        <v>585</v>
      </c>
      <c r="C54" s="338">
        <v>20100</v>
      </c>
      <c r="D54" s="68"/>
      <c r="E54" s="214"/>
      <c r="F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2.75" customHeight="1" x14ac:dyDescent="0.25">
      <c r="A55" s="254">
        <v>4</v>
      </c>
      <c r="B55" s="310" t="s">
        <v>586</v>
      </c>
      <c r="C55" s="338">
        <v>50000</v>
      </c>
      <c r="D55" s="68"/>
      <c r="E55" s="214"/>
      <c r="F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2.75" customHeight="1" x14ac:dyDescent="0.25">
      <c r="A56" s="254">
        <v>5</v>
      </c>
      <c r="B56" s="187" t="s">
        <v>587</v>
      </c>
      <c r="C56" s="338">
        <v>5022</v>
      </c>
      <c r="D56" s="68"/>
      <c r="E56" s="214"/>
      <c r="F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2.75" customHeight="1" x14ac:dyDescent="0.25">
      <c r="A57" s="254">
        <v>6</v>
      </c>
      <c r="B57" s="187" t="s">
        <v>588</v>
      </c>
      <c r="C57" s="187">
        <v>550</v>
      </c>
      <c r="D57" s="68"/>
      <c r="E57" s="214"/>
      <c r="F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2.75" customHeight="1" x14ac:dyDescent="0.25">
      <c r="A58" s="254">
        <v>7</v>
      </c>
      <c r="B58" s="187" t="s">
        <v>589</v>
      </c>
      <c r="C58" s="338">
        <v>1725</v>
      </c>
      <c r="D58" s="68"/>
      <c r="E58" s="214"/>
      <c r="F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54"/>
      <c r="B59" s="187"/>
      <c r="C59" s="310"/>
      <c r="D59" s="68"/>
      <c r="E59" s="214"/>
      <c r="F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61"/>
      <c r="B60" s="311" t="s">
        <v>35</v>
      </c>
      <c r="C60" s="312">
        <f>SUM(C52:C59)</f>
        <v>85319.08</v>
      </c>
      <c r="D60" s="68"/>
      <c r="E60" s="214"/>
      <c r="F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49"/>
      <c r="B61" s="68"/>
      <c r="C61" s="68"/>
      <c r="D61" s="68"/>
      <c r="E61" s="214"/>
      <c r="F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61" t="s">
        <v>298</v>
      </c>
      <c r="B62" s="261" t="s">
        <v>122</v>
      </c>
      <c r="C62" s="261" t="s">
        <v>309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>
        <v>1</v>
      </c>
      <c r="B63" s="310" t="s">
        <v>590</v>
      </c>
      <c r="C63" s="338">
        <v>4859.32</v>
      </c>
      <c r="D63" s="68"/>
      <c r="E63" s="68"/>
      <c r="F63" s="68"/>
      <c r="G63" s="68"/>
      <c r="H63" s="339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54">
        <v>2</v>
      </c>
      <c r="B64" s="187" t="s">
        <v>591</v>
      </c>
      <c r="C64" s="338">
        <v>23377</v>
      </c>
      <c r="D64" s="68"/>
      <c r="E64" s="68"/>
      <c r="F64" s="68"/>
      <c r="G64" s="214"/>
      <c r="H64" s="339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54"/>
      <c r="B65" s="187"/>
      <c r="C65" s="310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61"/>
      <c r="B66" s="311" t="s">
        <v>35</v>
      </c>
      <c r="C66" s="312">
        <f>SUM(C63:C65)</f>
        <v>28236.32</v>
      </c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49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61" t="s">
        <v>298</v>
      </c>
      <c r="B68" s="313" t="s">
        <v>349</v>
      </c>
      <c r="C68" s="261" t="s">
        <v>309</v>
      </c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54">
        <v>1</v>
      </c>
      <c r="B69" s="187" t="s">
        <v>592</v>
      </c>
      <c r="C69" s="195">
        <v>173622</v>
      </c>
      <c r="D69" s="68"/>
      <c r="E69" s="68"/>
      <c r="F69" s="250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54">
        <v>2</v>
      </c>
      <c r="B70" s="187" t="s">
        <v>593</v>
      </c>
      <c r="C70" s="310">
        <v>499190</v>
      </c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61"/>
      <c r="B71" s="311" t="s">
        <v>35</v>
      </c>
      <c r="C71" s="312">
        <f>SUM(C69:C70)</f>
        <v>672812</v>
      </c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61" t="s">
        <v>298</v>
      </c>
      <c r="B73" s="328" t="s">
        <v>274</v>
      </c>
      <c r="C73" s="261" t="s">
        <v>309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3">
      <c r="A74" s="254">
        <v>1</v>
      </c>
      <c r="B74" s="187" t="s">
        <v>517</v>
      </c>
      <c r="C74" s="322">
        <v>1100000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3">
      <c r="A75" s="254">
        <v>2</v>
      </c>
      <c r="B75" s="187"/>
      <c r="C75" s="322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61"/>
      <c r="B76" s="311" t="s">
        <v>594</v>
      </c>
      <c r="C76" s="312">
        <v>55000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54"/>
      <c r="B77" s="311"/>
      <c r="C77" s="311">
        <f>C75/3</f>
        <v>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54"/>
      <c r="B78" s="187"/>
      <c r="C78" s="327">
        <f>SUM(C76:C77)</f>
        <v>55000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49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49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49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3.5" customHeight="1" x14ac:dyDescent="0.25">
      <c r="A278" s="249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62"/>
      <c r="U278" s="162"/>
      <c r="V278" s="162"/>
      <c r="W278" s="162"/>
      <c r="X278" s="162"/>
      <c r="Y278" s="162"/>
      <c r="Z278" s="162"/>
    </row>
    <row r="279" spans="1:26" ht="15.75" customHeight="1" x14ac:dyDescent="0.25"/>
    <row r="280" spans="1:26" ht="15.75" customHeight="1" x14ac:dyDescent="0.25"/>
    <row r="281" spans="1:26" ht="15.75" customHeight="1" x14ac:dyDescent="0.25"/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dataValidations count="1">
    <dataValidation type="list" allowBlank="1" showErrorMessage="1" sqref="I14" xr:uid="{00000000-0002-0000-2900-000000000000}">
      <formula1>"Percentage basis,SFT basis"</formula1>
    </dataValidation>
  </dataValidation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9.28515625" customWidth="1"/>
    <col min="4" max="4" width="16" customWidth="1"/>
    <col min="5" max="5" width="16.28515625" customWidth="1"/>
    <col min="6" max="6" width="9.7109375" customWidth="1"/>
    <col min="7" max="7" width="15.140625" customWidth="1"/>
    <col min="8" max="8" width="17.7109375" customWidth="1"/>
    <col min="9" max="9" width="22" customWidth="1"/>
    <col min="10" max="10" width="16.140625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595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7.1346050017422362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596</v>
      </c>
      <c r="C6" s="195">
        <f>302500+127500</f>
        <v>430000</v>
      </c>
      <c r="D6" s="185">
        <f>C6/D3</f>
        <v>0.87621166828663943</v>
      </c>
      <c r="E6" s="186"/>
      <c r="F6" s="187"/>
      <c r="G6" s="188">
        <f>D6*G4</f>
        <v>146812.7698680996</v>
      </c>
      <c r="H6" s="189">
        <f t="shared" ref="H6:H8" si="0">C6-G6</f>
        <v>283187.2301319004</v>
      </c>
      <c r="I6" s="68"/>
      <c r="J6" s="68">
        <v>302500</v>
      </c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597</v>
      </c>
      <c r="C7" s="184">
        <v>460044</v>
      </c>
      <c r="D7" s="185">
        <f>C7/D3</f>
        <v>0.93743237377967148</v>
      </c>
      <c r="E7" s="191">
        <f>C7*(D29)</f>
        <v>149139.64063868651</v>
      </c>
      <c r="F7" s="192">
        <f>E7/D3</f>
        <v>0.30390207751556603</v>
      </c>
      <c r="G7" s="188">
        <f>F7*G4</f>
        <v>50920.008696043151</v>
      </c>
      <c r="H7" s="189">
        <f t="shared" si="0"/>
        <v>409123.99130395683</v>
      </c>
      <c r="I7" s="68"/>
      <c r="J7" s="250">
        <v>120000</v>
      </c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598</v>
      </c>
      <c r="C8" s="184">
        <v>459584</v>
      </c>
      <c r="D8" s="185">
        <f>C8/D3</f>
        <v>0.93649503106476017</v>
      </c>
      <c r="E8" s="191">
        <f>C8*D28</f>
        <v>314299.28359345684</v>
      </c>
      <c r="F8" s="192">
        <f>E8/D3</f>
        <v>0.6404481386481824</v>
      </c>
      <c r="G8" s="193">
        <f>F8*G4</f>
        <v>107309.64742305755</v>
      </c>
      <c r="H8" s="189">
        <f t="shared" si="0"/>
        <v>352274.35257694242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599</v>
      </c>
      <c r="C9" s="184">
        <v>753414</v>
      </c>
      <c r="D9" s="185">
        <f>C9/D3</f>
        <v>1.5352328787221166</v>
      </c>
      <c r="E9" s="186"/>
      <c r="F9" s="187"/>
      <c r="G9" s="188">
        <f>G4*D9</f>
        <v>257234.40976140552</v>
      </c>
      <c r="H9" s="189">
        <f>H4*D9</f>
        <v>496179.59023859445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550</v>
      </c>
      <c r="C10" s="184">
        <f>C44</f>
        <v>165348</v>
      </c>
      <c r="D10" s="185">
        <f>C10/D3</f>
        <v>0.33692987657641688</v>
      </c>
      <c r="E10" s="186"/>
      <c r="F10" s="187"/>
      <c r="G10" s="188">
        <f>D10*G4</f>
        <v>56453.94853988495</v>
      </c>
      <c r="H10" s="189">
        <f t="shared" ref="H10:H15" si="1">C10-G10</f>
        <v>108894.05146011505</v>
      </c>
      <c r="I10" s="68"/>
      <c r="J10" s="68"/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551</v>
      </c>
      <c r="C11" s="184">
        <f>C50</f>
        <v>34898</v>
      </c>
      <c r="D11" s="185">
        <f>C11/D3</f>
        <v>7.1111708836900336E-2</v>
      </c>
      <c r="E11" s="186"/>
      <c r="F11" s="187"/>
      <c r="G11" s="188">
        <v>0</v>
      </c>
      <c r="H11" s="189">
        <f t="shared" si="1"/>
        <v>34898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600</v>
      </c>
      <c r="C12" s="184">
        <f>C57</f>
        <v>250985</v>
      </c>
      <c r="D12" s="185">
        <f>C12/D3</f>
        <v>0.51143252456958654</v>
      </c>
      <c r="E12" s="191">
        <f>C12*D28</f>
        <v>171643.06349373295</v>
      </c>
      <c r="F12" s="192">
        <f>E12/D3</f>
        <v>0.34975733724110075</v>
      </c>
      <c r="G12" s="188">
        <f>F12*G4</f>
        <v>58603.240884095394</v>
      </c>
      <c r="H12" s="189">
        <f t="shared" si="1"/>
        <v>192381.7591159046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95"/>
      <c r="D13" s="185">
        <f>C13/D3</f>
        <v>0</v>
      </c>
      <c r="E13" s="191"/>
      <c r="F13" s="192"/>
      <c r="G13" s="188">
        <v>0</v>
      </c>
      <c r="H13" s="189">
        <f t="shared" si="1"/>
        <v>0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601</v>
      </c>
      <c r="C14" s="195">
        <f>C75</f>
        <v>703950</v>
      </c>
      <c r="D14" s="196">
        <f>C14/D3</f>
        <v>1.434440009047395</v>
      </c>
      <c r="E14" s="191">
        <f>C14*(D29)</f>
        <v>228210.45384268323</v>
      </c>
      <c r="F14" s="192">
        <f>E14/D3</f>
        <v>0.46502479646964789</v>
      </c>
      <c r="G14" s="188">
        <f>F14*G4</f>
        <v>77916.764747675377</v>
      </c>
      <c r="H14" s="189">
        <f t="shared" si="1"/>
        <v>626033.23525232461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602</v>
      </c>
      <c r="C15" s="184">
        <v>188077.27</v>
      </c>
      <c r="D15" s="185">
        <f>C15/D3</f>
        <v>0.38324534538022492</v>
      </c>
      <c r="E15" s="186"/>
      <c r="F15" s="187"/>
      <c r="G15" s="188">
        <f>G4*D15</f>
        <v>64214.290599838205</v>
      </c>
      <c r="H15" s="189">
        <f t="shared" si="1"/>
        <v>123862.97940016178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23946.65</v>
      </c>
      <c r="D16" s="185"/>
      <c r="E16" s="186"/>
      <c r="F16" s="187"/>
      <c r="G16" s="188"/>
      <c r="H16" s="189">
        <f t="shared" ref="H16:H17" si="2">C16</f>
        <v>23946.65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603</v>
      </c>
      <c r="C17" s="184">
        <f>C70-E60</f>
        <v>237547.97</v>
      </c>
      <c r="D17" s="185"/>
      <c r="E17" s="186"/>
      <c r="F17" s="187"/>
      <c r="G17" s="188">
        <v>0</v>
      </c>
      <c r="H17" s="189">
        <f t="shared" si="2"/>
        <v>237547.97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604</v>
      </c>
      <c r="C18" s="318">
        <f>C82</f>
        <v>55000</v>
      </c>
      <c r="D18" s="319">
        <f>C18/D3</f>
        <v>0.11207358547852364</v>
      </c>
      <c r="E18" s="202"/>
      <c r="F18" s="203"/>
      <c r="G18" s="204">
        <f>D18*G4</f>
        <v>18778.37754126855</v>
      </c>
      <c r="H18" s="205">
        <f>C18-G18</f>
        <v>36221.62245873145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3762794.89</v>
      </c>
      <c r="D19" s="268"/>
      <c r="E19" s="269"/>
      <c r="F19" s="270"/>
      <c r="G19" s="271">
        <f t="shared" ref="G19:H19" si="3">SUM(G6:G18)</f>
        <v>838243.45806136855</v>
      </c>
      <c r="H19" s="272">
        <f t="shared" si="3"/>
        <v>2924551.4319386315</v>
      </c>
      <c r="I19" s="214"/>
      <c r="J19" s="250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4">C20-G20</f>
        <v>0</v>
      </c>
      <c r="I20" s="68"/>
      <c r="J20" s="250"/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4"/>
        <v>323195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4253543.8900000006</v>
      </c>
      <c r="D22" s="282"/>
      <c r="E22" s="283"/>
      <c r="F22" s="284"/>
      <c r="G22" s="285">
        <f t="shared" ref="G22:H22" si="5">G19+G20+G21</f>
        <v>1005797.4580613686</v>
      </c>
      <c r="H22" s="286">
        <f t="shared" si="5"/>
        <v>3247746.4319386315</v>
      </c>
      <c r="I22" s="68"/>
      <c r="J22" s="250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8.6674529953194011</v>
      </c>
      <c r="D23" s="290"/>
      <c r="E23" s="291"/>
      <c r="F23" s="292"/>
      <c r="G23" s="295">
        <f>(G19+G20+G21)/G4</f>
        <v>6.0028257043184201</v>
      </c>
      <c r="H23" s="294">
        <f>(H20+H21+H19)/H4</f>
        <v>10.048875854944017</v>
      </c>
      <c r="I23" s="68"/>
      <c r="J23" s="197"/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4.2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23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133</v>
      </c>
      <c r="D33" s="192">
        <v>180.05</v>
      </c>
      <c r="E33" s="310">
        <f>C33*D33</f>
        <v>23946.65</v>
      </c>
      <c r="F33" s="330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557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43548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10000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531</v>
      </c>
      <c r="C39" s="310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7</v>
      </c>
      <c r="B40" s="187" t="s">
        <v>583</v>
      </c>
      <c r="C40" s="310">
        <v>24000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8</v>
      </c>
      <c r="B41" s="187" t="s">
        <v>410</v>
      </c>
      <c r="C41" s="310">
        <v>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2.75" customHeight="1" x14ac:dyDescent="0.25">
      <c r="A42" s="254">
        <v>9</v>
      </c>
      <c r="B42" s="187" t="s">
        <v>559</v>
      </c>
      <c r="C42" s="338">
        <v>1800</v>
      </c>
      <c r="D42" s="68"/>
      <c r="E42" s="214"/>
      <c r="F42" s="68"/>
      <c r="G42" s="214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54"/>
      <c r="B43" s="187"/>
      <c r="C43" s="310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61"/>
      <c r="B44" s="311" t="s">
        <v>35</v>
      </c>
      <c r="C44" s="312">
        <f>SUM(C36:C43)</f>
        <v>165348</v>
      </c>
      <c r="D44" s="68"/>
      <c r="E44" s="214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335"/>
      <c r="B45" s="336"/>
      <c r="C45" s="337"/>
      <c r="D45" s="68"/>
      <c r="E45" s="214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61" t="s">
        <v>298</v>
      </c>
      <c r="B46" s="261" t="s">
        <v>560</v>
      </c>
      <c r="C46" s="261" t="s">
        <v>309</v>
      </c>
      <c r="D46" s="68"/>
      <c r="E46" s="214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54">
        <v>5</v>
      </c>
      <c r="B47" s="187" t="s">
        <v>532</v>
      </c>
      <c r="C47" s="310">
        <v>29898</v>
      </c>
      <c r="D47" s="68"/>
      <c r="E47" s="214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54">
        <v>6</v>
      </c>
      <c r="B48" s="187" t="s">
        <v>533</v>
      </c>
      <c r="C48" s="310">
        <v>5000</v>
      </c>
      <c r="D48" s="68"/>
      <c r="E48" s="214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54"/>
      <c r="B49" s="187"/>
      <c r="C49" s="310"/>
      <c r="D49" s="68"/>
      <c r="E49" s="214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3.5" customHeight="1" x14ac:dyDescent="0.25">
      <c r="A50" s="261"/>
      <c r="B50" s="311" t="s">
        <v>35</v>
      </c>
      <c r="C50" s="312">
        <f>SUM(C47:C49)</f>
        <v>34898</v>
      </c>
      <c r="D50" s="68"/>
      <c r="E50" s="214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3.5" customHeight="1" x14ac:dyDescent="0.25">
      <c r="A51" s="335"/>
      <c r="B51" s="336"/>
      <c r="C51" s="337"/>
      <c r="D51" s="68"/>
      <c r="E51" s="214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2.75" customHeight="1" x14ac:dyDescent="0.25">
      <c r="A52" s="249"/>
      <c r="B52" s="68"/>
      <c r="C52" s="68"/>
      <c r="D52" s="68"/>
      <c r="E52" s="214"/>
      <c r="F52" s="68"/>
      <c r="G52" s="214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2.75" customHeight="1" x14ac:dyDescent="0.25">
      <c r="A53" s="261" t="s">
        <v>298</v>
      </c>
      <c r="B53" s="261" t="s">
        <v>472</v>
      </c>
      <c r="C53" s="261" t="s">
        <v>309</v>
      </c>
      <c r="D53" s="68"/>
      <c r="E53" s="214"/>
      <c r="F53" s="68"/>
      <c r="G53" s="214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2.75" customHeight="1" x14ac:dyDescent="0.25">
      <c r="A54" s="254">
        <v>1</v>
      </c>
      <c r="B54" s="187" t="s">
        <v>605</v>
      </c>
      <c r="C54" s="310">
        <v>98800</v>
      </c>
      <c r="D54" s="68"/>
      <c r="E54" s="214"/>
      <c r="F54" s="68"/>
      <c r="G54" s="214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4.25" customHeight="1" x14ac:dyDescent="0.25">
      <c r="A55" s="254">
        <v>2</v>
      </c>
      <c r="B55" s="187" t="s">
        <v>606</v>
      </c>
      <c r="C55" s="187">
        <v>140150</v>
      </c>
      <c r="D55" s="68"/>
      <c r="E55" s="214"/>
      <c r="F55" s="68"/>
      <c r="G55" s="214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54">
        <v>4</v>
      </c>
      <c r="B56" s="187" t="s">
        <v>607</v>
      </c>
      <c r="C56" s="338">
        <v>12035</v>
      </c>
      <c r="D56" s="68"/>
      <c r="E56" s="214"/>
      <c r="F56" s="68"/>
      <c r="G56" s="214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61"/>
      <c r="B57" s="311" t="s">
        <v>35</v>
      </c>
      <c r="C57" s="312">
        <f>SUM(C54:C56)</f>
        <v>250985</v>
      </c>
      <c r="D57" s="68"/>
      <c r="E57" s="214"/>
      <c r="F57" s="68"/>
      <c r="G57" s="214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49"/>
      <c r="B58" s="68"/>
      <c r="C58" s="68"/>
      <c r="D58" s="68"/>
      <c r="E58" s="214"/>
      <c r="F58" s="68"/>
      <c r="G58" s="214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61" t="s">
        <v>298</v>
      </c>
      <c r="B59" s="261" t="s">
        <v>122</v>
      </c>
      <c r="C59" s="261" t="s">
        <v>309</v>
      </c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1</v>
      </c>
      <c r="B60" s="187" t="s">
        <v>608</v>
      </c>
      <c r="C60" s="338">
        <v>36061.97</v>
      </c>
      <c r="D60" s="68"/>
      <c r="E60" s="214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54">
        <v>2</v>
      </c>
      <c r="B61" s="324" t="s">
        <v>609</v>
      </c>
      <c r="C61" s="340">
        <v>40470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54">
        <v>3</v>
      </c>
      <c r="B62" s="324" t="s">
        <v>610</v>
      </c>
      <c r="C62" s="341">
        <v>108000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>
        <v>4</v>
      </c>
      <c r="B63" s="187" t="s">
        <v>611</v>
      </c>
      <c r="C63" s="338">
        <v>26400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54">
        <v>5</v>
      </c>
      <c r="B64" s="187" t="s">
        <v>612</v>
      </c>
      <c r="C64" s="338">
        <v>4760</v>
      </c>
      <c r="D64" s="68"/>
      <c r="E64" s="68"/>
      <c r="F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54">
        <v>6</v>
      </c>
      <c r="B65" s="187" t="s">
        <v>566</v>
      </c>
      <c r="C65" s="338">
        <v>17000</v>
      </c>
      <c r="D65" s="68"/>
      <c r="E65" s="68"/>
      <c r="F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54">
        <v>7</v>
      </c>
      <c r="B66" s="187" t="s">
        <v>607</v>
      </c>
      <c r="C66" s="338">
        <v>4856</v>
      </c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54">
        <v>8</v>
      </c>
      <c r="B67" s="187"/>
      <c r="C67" s="310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54">
        <v>9</v>
      </c>
      <c r="B68" s="187"/>
      <c r="C68" s="310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54"/>
      <c r="B69" s="187"/>
      <c r="C69" s="310"/>
      <c r="D69" s="68"/>
      <c r="E69" s="68"/>
      <c r="F69" s="68"/>
      <c r="G69" s="68"/>
      <c r="H69" s="339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61"/>
      <c r="B70" s="311" t="s">
        <v>35</v>
      </c>
      <c r="C70" s="312">
        <f>SUM(C60:C69)</f>
        <v>237547.97</v>
      </c>
      <c r="D70" s="68"/>
      <c r="E70" s="68"/>
      <c r="F70" s="68"/>
      <c r="G70" s="68"/>
      <c r="H70" s="339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49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61" t="s">
        <v>298</v>
      </c>
      <c r="B72" s="313" t="s">
        <v>349</v>
      </c>
      <c r="C72" s="261" t="s">
        <v>309</v>
      </c>
      <c r="D72" s="68"/>
      <c r="E72" s="68"/>
      <c r="F72" s="68"/>
      <c r="G72" s="68"/>
      <c r="H72" s="339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54">
        <v>1</v>
      </c>
      <c r="B73" s="187" t="s">
        <v>613</v>
      </c>
      <c r="C73" s="195">
        <v>62770</v>
      </c>
      <c r="D73" s="68"/>
      <c r="E73" s="68"/>
      <c r="F73" s="250"/>
      <c r="G73" s="68"/>
      <c r="H73" s="339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54">
        <v>2</v>
      </c>
      <c r="B74" s="187" t="s">
        <v>614</v>
      </c>
      <c r="C74" s="342">
        <v>641180</v>
      </c>
      <c r="D74" s="68"/>
      <c r="E74" s="68"/>
      <c r="F74" s="68"/>
      <c r="G74" s="68"/>
      <c r="H74" s="339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61"/>
      <c r="B75" s="311" t="s">
        <v>35</v>
      </c>
      <c r="C75" s="312">
        <f>SUM(C73:C74)</f>
        <v>703950</v>
      </c>
      <c r="D75" s="68"/>
      <c r="E75" s="68"/>
      <c r="F75" s="68"/>
      <c r="G75" s="68"/>
      <c r="H75" s="339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49"/>
      <c r="B76" s="68"/>
      <c r="C76" s="68"/>
      <c r="D76" s="68"/>
      <c r="E76" s="68"/>
      <c r="F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61" t="s">
        <v>298</v>
      </c>
      <c r="B77" s="328" t="s">
        <v>274</v>
      </c>
      <c r="C77" s="261" t="s">
        <v>309</v>
      </c>
      <c r="D77" s="68"/>
      <c r="E77" s="68"/>
      <c r="F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3">
      <c r="A78" s="254">
        <v>1</v>
      </c>
      <c r="B78" s="187" t="s">
        <v>517</v>
      </c>
      <c r="C78" s="322">
        <v>1100000</v>
      </c>
      <c r="D78" s="68"/>
      <c r="E78" s="68"/>
      <c r="F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3">
      <c r="A79" s="254">
        <v>2</v>
      </c>
      <c r="B79" s="187"/>
      <c r="C79" s="322"/>
      <c r="D79" s="68"/>
      <c r="E79" s="68"/>
      <c r="F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61"/>
      <c r="B80" s="311" t="s">
        <v>615</v>
      </c>
      <c r="C80" s="312">
        <v>55000</v>
      </c>
      <c r="D80" s="68"/>
      <c r="E80" s="68"/>
      <c r="F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54"/>
      <c r="B81" s="311"/>
      <c r="C81" s="311">
        <f>C79/3</f>
        <v>0</v>
      </c>
      <c r="D81" s="68"/>
      <c r="E81" s="68"/>
      <c r="F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54"/>
      <c r="B82" s="187"/>
      <c r="C82" s="327">
        <f>SUM(C80:C81)</f>
        <v>55000</v>
      </c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3.5" customHeight="1" x14ac:dyDescent="0.25">
      <c r="A278" s="249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62"/>
      <c r="U278" s="162"/>
      <c r="V278" s="162"/>
      <c r="W278" s="162"/>
      <c r="X278" s="162"/>
      <c r="Y278" s="162"/>
      <c r="Z278" s="162"/>
    </row>
    <row r="279" spans="1:26" ht="13.5" customHeight="1" x14ac:dyDescent="0.25">
      <c r="A279" s="249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162"/>
      <c r="U279" s="162"/>
      <c r="V279" s="162"/>
      <c r="W279" s="162"/>
      <c r="X279" s="162"/>
      <c r="Y279" s="162"/>
      <c r="Z279" s="162"/>
    </row>
    <row r="280" spans="1:26" ht="13.5" customHeight="1" x14ac:dyDescent="0.25">
      <c r="A280" s="249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162"/>
      <c r="U280" s="162"/>
      <c r="V280" s="162"/>
      <c r="W280" s="162"/>
      <c r="X280" s="162"/>
      <c r="Y280" s="162"/>
      <c r="Z280" s="162"/>
    </row>
    <row r="281" spans="1:26" ht="13.5" customHeight="1" x14ac:dyDescent="0.25">
      <c r="A281" s="249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162"/>
      <c r="U281" s="162"/>
      <c r="V281" s="162"/>
      <c r="W281" s="162"/>
      <c r="X281" s="162"/>
      <c r="Y281" s="162"/>
      <c r="Z281" s="162"/>
    </row>
    <row r="282" spans="1:26" ht="13.5" customHeight="1" x14ac:dyDescent="0.25">
      <c r="A282" s="249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162"/>
      <c r="U282" s="162"/>
      <c r="V282" s="162"/>
      <c r="W282" s="162"/>
      <c r="X282" s="162"/>
      <c r="Y282" s="162"/>
      <c r="Z282" s="162"/>
    </row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dataValidations count="1">
    <dataValidation type="list" allowBlank="1" showErrorMessage="1" sqref="I14" xr:uid="{00000000-0002-0000-2A00-000000000000}">
      <formula1>"Percentage basis,SFT basis"</formula1>
    </dataValidation>
  </dataValidation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9.28515625" customWidth="1"/>
    <col min="4" max="4" width="16" customWidth="1"/>
    <col min="5" max="5" width="16.28515625" customWidth="1"/>
    <col min="6" max="6" width="9.7109375" customWidth="1"/>
    <col min="7" max="7" width="14.140625" customWidth="1"/>
    <col min="8" max="8" width="17.7109375" customWidth="1"/>
    <col min="9" max="9" width="22" customWidth="1"/>
    <col min="10" max="10" width="16.140625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616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7.889169832873276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617</v>
      </c>
      <c r="C6" s="195">
        <f>302500+127500</f>
        <v>430000</v>
      </c>
      <c r="D6" s="185">
        <f>C6/D3</f>
        <v>0.87621166828663943</v>
      </c>
      <c r="E6" s="186"/>
      <c r="F6" s="187"/>
      <c r="G6" s="188">
        <f>D6*G4</f>
        <v>146812.7698680996</v>
      </c>
      <c r="H6" s="189">
        <f t="shared" ref="H6:H8" si="0">C6-G6</f>
        <v>283187.2301319004</v>
      </c>
      <c r="I6" s="197">
        <f t="shared" ref="I6:I18" si="1">G6/$G$4</f>
        <v>0.87621166828663954</v>
      </c>
      <c r="J6" s="197">
        <f t="shared" ref="J6:J18" si="2">H6/$H$4</f>
        <v>0.87621166828663932</v>
      </c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618</v>
      </c>
      <c r="C7" s="184">
        <v>438967</v>
      </c>
      <c r="D7" s="185">
        <f>C7/D3</f>
        <v>0.89448373812274706</v>
      </c>
      <c r="E7" s="191">
        <f>C7*(D29)</f>
        <v>142306.7807258486</v>
      </c>
      <c r="F7" s="192">
        <f>E7/D3</f>
        <v>0.28997874825185299</v>
      </c>
      <c r="G7" s="188">
        <f>F7*G4</f>
        <v>48587.099184590974</v>
      </c>
      <c r="H7" s="189">
        <f t="shared" si="0"/>
        <v>390379.90081540903</v>
      </c>
      <c r="I7" s="197">
        <f t="shared" si="1"/>
        <v>0.28997874825185299</v>
      </c>
      <c r="J7" s="197">
        <f t="shared" si="2"/>
        <v>1.2078772902285277</v>
      </c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619</v>
      </c>
      <c r="C8" s="184">
        <v>612768</v>
      </c>
      <c r="D8" s="185">
        <f>C8/D3</f>
        <v>1.2486383059364359</v>
      </c>
      <c r="E8" s="191">
        <f>C8*D28</f>
        <v>419058.41676167003</v>
      </c>
      <c r="F8" s="192">
        <f>E8/D3</f>
        <v>0.85391598711697836</v>
      </c>
      <c r="G8" s="193">
        <f>F8*G4</f>
        <v>143077.03930539818</v>
      </c>
      <c r="H8" s="189">
        <f t="shared" si="0"/>
        <v>469690.96069460182</v>
      </c>
      <c r="I8" s="197">
        <f t="shared" si="1"/>
        <v>0.85391598711697825</v>
      </c>
      <c r="J8" s="197">
        <f t="shared" si="2"/>
        <v>1.4532742174062154</v>
      </c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620</v>
      </c>
      <c r="C9" s="184">
        <v>699771</v>
      </c>
      <c r="D9" s="185">
        <f>C9/D3</f>
        <v>1.4259244542525813</v>
      </c>
      <c r="E9" s="186"/>
      <c r="F9" s="187"/>
      <c r="G9" s="188">
        <f>G4*D9</f>
        <v>238919.34600783701</v>
      </c>
      <c r="H9" s="189">
        <f>H4*D9</f>
        <v>460851.65399216302</v>
      </c>
      <c r="I9" s="197">
        <f t="shared" si="1"/>
        <v>1.4259244542525813</v>
      </c>
      <c r="J9" s="197">
        <f t="shared" si="2"/>
        <v>1.4259244542525813</v>
      </c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550</v>
      </c>
      <c r="C10" s="184">
        <f>C43</f>
        <v>166800</v>
      </c>
      <c r="D10" s="185">
        <f>C10/D3</f>
        <v>0.33988861923304992</v>
      </c>
      <c r="E10" s="186"/>
      <c r="F10" s="187"/>
      <c r="G10" s="188">
        <f>D10*G4</f>
        <v>56949.697706974446</v>
      </c>
      <c r="H10" s="189">
        <f t="shared" ref="H10:H15" si="3">C10-G10</f>
        <v>109850.30229302555</v>
      </c>
      <c r="I10" s="197">
        <f t="shared" si="1"/>
        <v>0.33988861923304992</v>
      </c>
      <c r="J10" s="197">
        <f t="shared" si="2"/>
        <v>0.33988861923304986</v>
      </c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551</v>
      </c>
      <c r="C11" s="184">
        <f>C49</f>
        <v>36970</v>
      </c>
      <c r="D11" s="185">
        <f>C11/D3</f>
        <v>7.533382645710944E-2</v>
      </c>
      <c r="E11" s="186"/>
      <c r="F11" s="187"/>
      <c r="G11" s="188">
        <v>0</v>
      </c>
      <c r="H11" s="189">
        <f t="shared" si="3"/>
        <v>36970</v>
      </c>
      <c r="I11" s="197">
        <f t="shared" si="1"/>
        <v>0</v>
      </c>
      <c r="J11" s="197">
        <f t="shared" si="2"/>
        <v>0.11438914587168737</v>
      </c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621</v>
      </c>
      <c r="C12" s="184">
        <f>C55</f>
        <v>0</v>
      </c>
      <c r="D12" s="185">
        <f>C12/D3</f>
        <v>0</v>
      </c>
      <c r="E12" s="191">
        <f>C12*D28</f>
        <v>0</v>
      </c>
      <c r="F12" s="192">
        <f>E12/D3</f>
        <v>0</v>
      </c>
      <c r="G12" s="188">
        <f>F12*G4</f>
        <v>0</v>
      </c>
      <c r="H12" s="189">
        <f t="shared" si="3"/>
        <v>0</v>
      </c>
      <c r="I12" s="197">
        <f t="shared" si="1"/>
        <v>0</v>
      </c>
      <c r="J12" s="197">
        <f t="shared" si="2"/>
        <v>0</v>
      </c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95">
        <v>0</v>
      </c>
      <c r="D13" s="185">
        <f>C13/D3</f>
        <v>0</v>
      </c>
      <c r="E13" s="191"/>
      <c r="F13" s="192"/>
      <c r="G13" s="188">
        <v>0</v>
      </c>
      <c r="H13" s="189">
        <f t="shared" si="3"/>
        <v>0</v>
      </c>
      <c r="I13" s="197">
        <f t="shared" si="1"/>
        <v>0</v>
      </c>
      <c r="J13" s="197">
        <f t="shared" si="2"/>
        <v>0</v>
      </c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622</v>
      </c>
      <c r="C14" s="195">
        <f>C71</f>
        <v>1030521.1604511261</v>
      </c>
      <c r="D14" s="196">
        <f>C14/D3</f>
        <v>2.0998945702408482</v>
      </c>
      <c r="E14" s="191">
        <f>C14*(D29)</f>
        <v>334080.12177148956</v>
      </c>
      <c r="F14" s="192">
        <f>E14/D3</f>
        <v>0.68075558334604769</v>
      </c>
      <c r="G14" s="188">
        <f>F14*G4</f>
        <v>114063.32101196368</v>
      </c>
      <c r="H14" s="189">
        <f t="shared" si="3"/>
        <v>916457.8394391624</v>
      </c>
      <c r="I14" s="197">
        <f t="shared" si="1"/>
        <v>0.68075558334604769</v>
      </c>
      <c r="J14" s="197">
        <f t="shared" si="2"/>
        <v>2.8356188661308575</v>
      </c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623</v>
      </c>
      <c r="C15" s="184">
        <v>312510.87586160109</v>
      </c>
      <c r="D15" s="185">
        <f>C15/D3</f>
        <v>0.63680389743351706</v>
      </c>
      <c r="E15" s="186"/>
      <c r="F15" s="187"/>
      <c r="G15" s="188">
        <f>G4*D15</f>
        <v>106699.04023057551</v>
      </c>
      <c r="H15" s="189">
        <f t="shared" si="3"/>
        <v>205811.83563102558</v>
      </c>
      <c r="I15" s="197">
        <f t="shared" si="1"/>
        <v>0.63680389743351706</v>
      </c>
      <c r="J15" s="197">
        <f t="shared" si="2"/>
        <v>0.63680389743351717</v>
      </c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103528.75</v>
      </c>
      <c r="D16" s="185"/>
      <c r="E16" s="186"/>
      <c r="F16" s="187"/>
      <c r="G16" s="188"/>
      <c r="H16" s="189">
        <f t="shared" ref="H16:H17" si="4">C16</f>
        <v>103528.75</v>
      </c>
      <c r="I16" s="197">
        <f t="shared" si="1"/>
        <v>0</v>
      </c>
      <c r="J16" s="197">
        <f t="shared" si="2"/>
        <v>0.32032905830845154</v>
      </c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624</v>
      </c>
      <c r="C17" s="184">
        <f>C66</f>
        <v>414446</v>
      </c>
      <c r="D17" s="185"/>
      <c r="E17" s="186"/>
      <c r="F17" s="187"/>
      <c r="G17" s="188">
        <v>0</v>
      </c>
      <c r="H17" s="189">
        <f t="shared" si="4"/>
        <v>414446</v>
      </c>
      <c r="I17" s="197">
        <f t="shared" si="1"/>
        <v>0</v>
      </c>
      <c r="J17" s="197">
        <f t="shared" si="2"/>
        <v>1.2823403827410695</v>
      </c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625</v>
      </c>
      <c r="C18" s="318">
        <f>C78</f>
        <v>143294.16999999998</v>
      </c>
      <c r="D18" s="319">
        <f>C18/D3</f>
        <v>0.29199075291034721</v>
      </c>
      <c r="E18" s="202"/>
      <c r="F18" s="203"/>
      <c r="G18" s="204">
        <f>D18*G4</f>
        <v>48924.218613140314</v>
      </c>
      <c r="H18" s="205">
        <f>C18-G18</f>
        <v>94369.95138685967</v>
      </c>
      <c r="I18" s="197">
        <f t="shared" si="1"/>
        <v>0.29199075291034721</v>
      </c>
      <c r="J18" s="197">
        <f t="shared" si="2"/>
        <v>0.29199075291034721</v>
      </c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4389576.9563127272</v>
      </c>
      <c r="D19" s="268"/>
      <c r="E19" s="269"/>
      <c r="F19" s="270"/>
      <c r="G19" s="271">
        <f t="shared" ref="G19:H19" si="5">SUM(G6:G18)</f>
        <v>904032.53192857967</v>
      </c>
      <c r="H19" s="272">
        <f t="shared" si="5"/>
        <v>3485544.4243841474</v>
      </c>
      <c r="I19" s="214"/>
      <c r="J19" s="250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6">C20-G20</f>
        <v>0</v>
      </c>
      <c r="I20" s="197">
        <f t="shared" ref="I20:I21" si="7">G20/$G$4</f>
        <v>0</v>
      </c>
      <c r="J20" s="197">
        <f t="shared" ref="J20:J21" si="8">H20/$H$4</f>
        <v>0</v>
      </c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6"/>
        <v>323195</v>
      </c>
      <c r="I21" s="197">
        <f t="shared" si="7"/>
        <v>1</v>
      </c>
      <c r="J21" s="197">
        <f t="shared" si="8"/>
        <v>1</v>
      </c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4880325.9563127272</v>
      </c>
      <c r="D22" s="282"/>
      <c r="E22" s="283"/>
      <c r="F22" s="284"/>
      <c r="G22" s="285">
        <f t="shared" ref="G22:H22" si="9">G19+G20+G21</f>
        <v>1071586.5319285798</v>
      </c>
      <c r="H22" s="286">
        <f t="shared" si="9"/>
        <v>3808739.4243841474</v>
      </c>
      <c r="I22" s="68"/>
      <c r="J22" s="250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9.94464778596131</v>
      </c>
      <c r="D23" s="290"/>
      <c r="E23" s="291"/>
      <c r="F23" s="292"/>
      <c r="G23" s="295">
        <f>(G19+G20+G21)/G4</f>
        <v>6.3954697108310148</v>
      </c>
      <c r="H23" s="294">
        <f>(H20+H21+H19)/H4</f>
        <v>11.784648352802943</v>
      </c>
      <c r="I23" s="343">
        <f t="shared" ref="I23:J23" si="10">SUM(I6:I22)</f>
        <v>6.3954697108310139</v>
      </c>
      <c r="J23" s="343">
        <f t="shared" si="10"/>
        <v>11.784648352802943</v>
      </c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4.2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25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575</v>
      </c>
      <c r="D33" s="192">
        <v>180.05</v>
      </c>
      <c r="E33" s="310">
        <f>C33*D33</f>
        <v>103528.75</v>
      </c>
      <c r="F33" s="330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557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10000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531</v>
      </c>
      <c r="C39" s="310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5</v>
      </c>
      <c r="B40" s="187" t="s">
        <v>583</v>
      </c>
      <c r="C40" s="310">
        <v>24000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2.75" customHeight="1" x14ac:dyDescent="0.25">
      <c r="A41" s="254">
        <v>6</v>
      </c>
      <c r="B41" s="187" t="s">
        <v>559</v>
      </c>
      <c r="C41" s="338">
        <v>1800</v>
      </c>
      <c r="D41" s="68"/>
      <c r="E41" s="214"/>
      <c r="F41" s="68"/>
      <c r="G41" s="214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54"/>
      <c r="B42" s="187"/>
      <c r="C42" s="310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61"/>
      <c r="B43" s="311" t="s">
        <v>35</v>
      </c>
      <c r="C43" s="312">
        <f>SUM(C36:C42)</f>
        <v>166800</v>
      </c>
      <c r="D43" s="68"/>
      <c r="E43" s="214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335"/>
      <c r="B44" s="336"/>
      <c r="C44" s="337"/>
      <c r="D44" s="68"/>
      <c r="E44" s="214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261" t="s">
        <v>298</v>
      </c>
      <c r="B45" s="261" t="s">
        <v>560</v>
      </c>
      <c r="C45" s="261" t="s">
        <v>309</v>
      </c>
      <c r="D45" s="68"/>
      <c r="E45" s="214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54">
        <v>1</v>
      </c>
      <c r="B46" s="187" t="s">
        <v>532</v>
      </c>
      <c r="C46" s="310">
        <v>36970</v>
      </c>
      <c r="D46" s="68"/>
      <c r="E46" s="214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54">
        <v>2</v>
      </c>
      <c r="B47" s="187" t="s">
        <v>533</v>
      </c>
      <c r="C47" s="310">
        <v>0</v>
      </c>
      <c r="D47" s="68"/>
      <c r="E47" s="214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54"/>
      <c r="B48" s="187"/>
      <c r="C48" s="310"/>
      <c r="D48" s="68"/>
      <c r="E48" s="214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61"/>
      <c r="B49" s="311" t="s">
        <v>35</v>
      </c>
      <c r="C49" s="312">
        <f>SUM(C46:C48)</f>
        <v>36970</v>
      </c>
      <c r="D49" s="68"/>
      <c r="E49" s="214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2.75" customHeight="1" x14ac:dyDescent="0.25">
      <c r="A50" s="249"/>
      <c r="B50" s="68"/>
      <c r="C50" s="68"/>
      <c r="D50" s="68"/>
      <c r="E50" s="214"/>
      <c r="F50" s="68"/>
      <c r="G50" s="214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2.75" customHeight="1" x14ac:dyDescent="0.25">
      <c r="A51" s="261" t="s">
        <v>298</v>
      </c>
      <c r="B51" s="261" t="s">
        <v>472</v>
      </c>
      <c r="C51" s="261" t="s">
        <v>309</v>
      </c>
      <c r="D51" s="68"/>
      <c r="E51" s="214"/>
      <c r="F51" s="68"/>
      <c r="G51" s="214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2.75" customHeight="1" x14ac:dyDescent="0.25">
      <c r="A52" s="254"/>
      <c r="B52" s="187"/>
      <c r="C52" s="338"/>
      <c r="D52" s="68"/>
      <c r="E52" s="214"/>
      <c r="F52" s="68"/>
      <c r="G52" s="214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2.75" customHeight="1" x14ac:dyDescent="0.25">
      <c r="A53" s="254"/>
      <c r="B53" s="187"/>
      <c r="C53" s="187"/>
      <c r="D53" s="68"/>
      <c r="E53" s="214"/>
      <c r="F53" s="68"/>
      <c r="G53" s="214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3.5" customHeight="1" x14ac:dyDescent="0.25">
      <c r="A54" s="254"/>
      <c r="B54" s="187"/>
      <c r="C54" s="310"/>
      <c r="D54" s="68"/>
      <c r="E54" s="214"/>
      <c r="F54" s="68"/>
      <c r="G54" s="214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61"/>
      <c r="B55" s="311" t="s">
        <v>35</v>
      </c>
      <c r="C55" s="312">
        <f>SUM(C52:C54)</f>
        <v>0</v>
      </c>
      <c r="D55" s="68"/>
      <c r="E55" s="214"/>
      <c r="F55" s="68"/>
      <c r="G55" s="214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49"/>
      <c r="B56" s="68"/>
      <c r="C56" s="68"/>
      <c r="D56" s="68"/>
      <c r="E56" s="214"/>
      <c r="F56" s="68"/>
      <c r="G56" s="214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61" t="s">
        <v>298</v>
      </c>
      <c r="B57" s="261" t="s">
        <v>122</v>
      </c>
      <c r="C57" s="261" t="s">
        <v>309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2.75" customHeight="1" x14ac:dyDescent="0.25">
      <c r="A58" s="254">
        <v>1</v>
      </c>
      <c r="B58" s="187" t="s">
        <v>605</v>
      </c>
      <c r="C58" s="310">
        <v>223210</v>
      </c>
      <c r="D58" s="68"/>
      <c r="E58" s="214"/>
      <c r="F58" s="68"/>
      <c r="G58" s="214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54">
        <v>1</v>
      </c>
      <c r="B59" s="187" t="s">
        <v>606</v>
      </c>
      <c r="C59" s="187">
        <v>77500</v>
      </c>
      <c r="D59" s="68"/>
      <c r="E59" s="68"/>
      <c r="F59" s="68"/>
      <c r="G59" s="68"/>
      <c r="H59" s="344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2</v>
      </c>
      <c r="B60" s="187" t="s">
        <v>611</v>
      </c>
      <c r="C60" s="338">
        <v>16200</v>
      </c>
      <c r="D60" s="68"/>
      <c r="E60" s="68"/>
      <c r="F60" s="68"/>
      <c r="G60" s="68"/>
      <c r="H60" s="345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54">
        <v>3</v>
      </c>
      <c r="B61" s="187" t="s">
        <v>626</v>
      </c>
      <c r="C61" s="338">
        <v>40736</v>
      </c>
      <c r="D61" s="68"/>
      <c r="E61" s="68"/>
      <c r="F61" s="68"/>
      <c r="G61" s="68"/>
      <c r="H61" s="345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54">
        <v>4</v>
      </c>
      <c r="B62" s="187" t="s">
        <v>627</v>
      </c>
      <c r="C62" s="187">
        <v>26800</v>
      </c>
      <c r="D62" s="68"/>
      <c r="E62" s="68"/>
      <c r="F62" s="68"/>
      <c r="G62" s="68"/>
      <c r="H62" s="344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>
        <v>5</v>
      </c>
      <c r="B63" s="187" t="s">
        <v>607</v>
      </c>
      <c r="C63" s="338">
        <v>27861</v>
      </c>
      <c r="D63" s="68"/>
      <c r="E63" s="214"/>
      <c r="F63" s="68"/>
      <c r="H63" s="346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54">
        <v>6</v>
      </c>
      <c r="B64" s="187" t="s">
        <v>628</v>
      </c>
      <c r="C64" s="338">
        <v>2139</v>
      </c>
      <c r="D64" s="68"/>
      <c r="E64" s="214"/>
      <c r="F64" s="68"/>
      <c r="H64" s="346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54"/>
      <c r="B65" s="187"/>
      <c r="C65" s="187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61"/>
      <c r="B66" s="311" t="s">
        <v>35</v>
      </c>
      <c r="C66" s="312">
        <f>SUM(C58:C65)</f>
        <v>414446</v>
      </c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49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61" t="s">
        <v>298</v>
      </c>
      <c r="B68" s="313" t="s">
        <v>349</v>
      </c>
      <c r="C68" s="261" t="s">
        <v>309</v>
      </c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54">
        <v>1</v>
      </c>
      <c r="B69" s="187" t="s">
        <v>629</v>
      </c>
      <c r="C69" s="195">
        <v>76992.302347324541</v>
      </c>
      <c r="D69" s="68"/>
      <c r="E69" s="68"/>
      <c r="F69" s="250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54">
        <v>2</v>
      </c>
      <c r="B70" s="187" t="s">
        <v>630</v>
      </c>
      <c r="C70" s="342">
        <v>953528.8581038015</v>
      </c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61"/>
      <c r="B71" s="311" t="s">
        <v>35</v>
      </c>
      <c r="C71" s="312">
        <f>SUM(C69:C70)</f>
        <v>1030521.1604511261</v>
      </c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61" t="s">
        <v>298</v>
      </c>
      <c r="B73" s="328" t="s">
        <v>274</v>
      </c>
      <c r="C73" s="261" t="s">
        <v>309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3">
      <c r="A74" s="254">
        <v>1</v>
      </c>
      <c r="B74" s="187" t="s">
        <v>517</v>
      </c>
      <c r="C74" s="322">
        <v>1100000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3">
      <c r="A75" s="254">
        <v>2</v>
      </c>
      <c r="B75" s="187" t="s">
        <v>631</v>
      </c>
      <c r="C75" s="322">
        <f>88294.17*12</f>
        <v>1059530.04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61"/>
      <c r="B76" s="311" t="s">
        <v>632</v>
      </c>
      <c r="C76" s="312">
        <v>55000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54"/>
      <c r="B77" s="311" t="s">
        <v>633</v>
      </c>
      <c r="C77" s="347">
        <v>88294.17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54"/>
      <c r="B78" s="187"/>
      <c r="C78" s="327">
        <f>SUM(C76:C77)</f>
        <v>143294.16999999998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49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49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49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3.5" customHeight="1" x14ac:dyDescent="0.25">
      <c r="A278" s="249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62"/>
      <c r="U278" s="162"/>
      <c r="V278" s="162"/>
      <c r="W278" s="162"/>
      <c r="X278" s="162"/>
      <c r="Y278" s="162"/>
      <c r="Z278" s="162"/>
    </row>
    <row r="279" spans="1:26" ht="15.75" customHeight="1" x14ac:dyDescent="0.25"/>
    <row r="280" spans="1:26" ht="15.75" customHeight="1" x14ac:dyDescent="0.25"/>
    <row r="281" spans="1:26" ht="15.75" customHeight="1" x14ac:dyDescent="0.25"/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9.28515625" customWidth="1"/>
    <col min="4" max="4" width="16" customWidth="1"/>
    <col min="5" max="5" width="16.28515625" customWidth="1"/>
    <col min="6" max="6" width="9.7109375" customWidth="1"/>
    <col min="7" max="7" width="27.140625" customWidth="1"/>
    <col min="8" max="8" width="17.7109375" customWidth="1"/>
    <col min="9" max="9" width="22" customWidth="1"/>
    <col min="10" max="10" width="16.140625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634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8.984122589626276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635</v>
      </c>
      <c r="C6" s="195">
        <f>302500+127500</f>
        <v>430000</v>
      </c>
      <c r="D6" s="185">
        <f>C6/D3</f>
        <v>0.87621166828663943</v>
      </c>
      <c r="E6" s="186"/>
      <c r="F6" s="187"/>
      <c r="G6" s="188">
        <f>D6*G4</f>
        <v>146812.7698680996</v>
      </c>
      <c r="H6" s="189">
        <f t="shared" ref="H6:H8" si="0">C6-G6</f>
        <v>283187.2301319004</v>
      </c>
      <c r="I6" s="197">
        <f t="shared" ref="I6:I18" si="1">G6/$G$4</f>
        <v>0.87621166828663954</v>
      </c>
      <c r="J6" s="197">
        <f t="shared" ref="J6:J18" si="2">H6/$H$4</f>
        <v>0.87621166828663932</v>
      </c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636</v>
      </c>
      <c r="C7" s="184">
        <v>455320</v>
      </c>
      <c r="D7" s="185">
        <f>C7/D3</f>
        <v>0.92780627163784335</v>
      </c>
      <c r="E7" s="191">
        <f>C7*(D29)</f>
        <v>147608.18785943679</v>
      </c>
      <c r="F7" s="192">
        <f>E7/D3</f>
        <v>0.30078143380717393</v>
      </c>
      <c r="G7" s="188">
        <f>F7*G4</f>
        <v>50397.132360127223</v>
      </c>
      <c r="H7" s="189">
        <f t="shared" si="0"/>
        <v>404922.86763987277</v>
      </c>
      <c r="I7" s="197">
        <f t="shared" si="1"/>
        <v>0.30078143380717393</v>
      </c>
      <c r="J7" s="197">
        <f t="shared" si="2"/>
        <v>1.2528747896467234</v>
      </c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637</v>
      </c>
      <c r="C8" s="184">
        <v>578143</v>
      </c>
      <c r="D8" s="185">
        <f>C8/D3</f>
        <v>1.17808288962382</v>
      </c>
      <c r="E8" s="191">
        <f>C8*D28</f>
        <v>395379.14878362155</v>
      </c>
      <c r="F8" s="192">
        <f>E8/D3</f>
        <v>0.80566470595685691</v>
      </c>
      <c r="G8" s="193">
        <f>F8*G4</f>
        <v>134992.34414189521</v>
      </c>
      <c r="H8" s="189">
        <f t="shared" si="0"/>
        <v>443150.65585810482</v>
      </c>
      <c r="I8" s="197">
        <f t="shared" si="1"/>
        <v>0.80566470595685702</v>
      </c>
      <c r="J8" s="197">
        <f t="shared" si="2"/>
        <v>1.3711556671919578</v>
      </c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638</v>
      </c>
      <c r="C9" s="184">
        <v>825265</v>
      </c>
      <c r="D9" s="185">
        <f>C9/D3</f>
        <v>1.6816437730897058</v>
      </c>
      <c r="E9" s="186"/>
      <c r="F9" s="187"/>
      <c r="G9" s="188">
        <f>G4*D9</f>
        <v>281766.14075627259</v>
      </c>
      <c r="H9" s="189">
        <f>H4*D9</f>
        <v>543498.85924372752</v>
      </c>
      <c r="I9" s="197">
        <f t="shared" si="1"/>
        <v>1.681643773089706</v>
      </c>
      <c r="J9" s="197">
        <f t="shared" si="2"/>
        <v>1.681643773089706</v>
      </c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550</v>
      </c>
      <c r="C10" s="184">
        <f>C44</f>
        <v>236800</v>
      </c>
      <c r="D10" s="185">
        <f>C10/D3</f>
        <v>0.48252772802389815</v>
      </c>
      <c r="E10" s="186"/>
      <c r="F10" s="187"/>
      <c r="G10" s="188">
        <f>D10*G4</f>
        <v>80849.45094131623</v>
      </c>
      <c r="H10" s="189">
        <f t="shared" ref="H10:H15" si="3">C10-G10</f>
        <v>155950.54905868377</v>
      </c>
      <c r="I10" s="197">
        <f t="shared" si="1"/>
        <v>0.48252772802389815</v>
      </c>
      <c r="J10" s="197">
        <f t="shared" si="2"/>
        <v>0.48252772802389815</v>
      </c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551</v>
      </c>
      <c r="C11" s="184">
        <f>C50</f>
        <v>41110</v>
      </c>
      <c r="D11" s="185">
        <f>C11/D3</f>
        <v>8.3769910891311042E-2</v>
      </c>
      <c r="E11" s="186"/>
      <c r="F11" s="187"/>
      <c r="G11" s="188">
        <v>0</v>
      </c>
      <c r="H11" s="189">
        <f t="shared" si="3"/>
        <v>41110</v>
      </c>
      <c r="I11" s="197">
        <f t="shared" si="1"/>
        <v>0</v>
      </c>
      <c r="J11" s="197">
        <f t="shared" si="2"/>
        <v>0.12719874998066183</v>
      </c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639</v>
      </c>
      <c r="C12" s="184">
        <f>C55</f>
        <v>0</v>
      </c>
      <c r="D12" s="185">
        <f>C12/D3</f>
        <v>0</v>
      </c>
      <c r="E12" s="191">
        <f>C12*D28</f>
        <v>0</v>
      </c>
      <c r="F12" s="192">
        <f>E12/D3</f>
        <v>0</v>
      </c>
      <c r="G12" s="188">
        <f>F12*G4</f>
        <v>0</v>
      </c>
      <c r="H12" s="189">
        <f t="shared" si="3"/>
        <v>0</v>
      </c>
      <c r="I12" s="197">
        <f t="shared" si="1"/>
        <v>0</v>
      </c>
      <c r="J12" s="197">
        <f t="shared" si="2"/>
        <v>0</v>
      </c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95"/>
      <c r="D13" s="185">
        <f>C13/D3</f>
        <v>0</v>
      </c>
      <c r="E13" s="191"/>
      <c r="F13" s="192"/>
      <c r="G13" s="188">
        <v>0</v>
      </c>
      <c r="H13" s="189">
        <f t="shared" si="3"/>
        <v>0</v>
      </c>
      <c r="I13" s="197">
        <f t="shared" si="1"/>
        <v>0</v>
      </c>
      <c r="J13" s="197">
        <f t="shared" si="2"/>
        <v>0</v>
      </c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640</v>
      </c>
      <c r="C14" s="195">
        <f>C76</f>
        <v>1355682.9496531715</v>
      </c>
      <c r="D14" s="196">
        <f>C14/D3</f>
        <v>2.7624772534496689</v>
      </c>
      <c r="E14" s="191">
        <f>C14*(D29)</f>
        <v>439492.89183484303</v>
      </c>
      <c r="F14" s="192">
        <f>E14/D3</f>
        <v>0.89555534873192411</v>
      </c>
      <c r="G14" s="188">
        <f>F14*G4</f>
        <v>150053.88090142881</v>
      </c>
      <c r="H14" s="189">
        <f t="shared" si="3"/>
        <v>1205629.0687517426</v>
      </c>
      <c r="I14" s="197">
        <f t="shared" si="1"/>
        <v>0.89555534873192411</v>
      </c>
      <c r="J14" s="197">
        <f t="shared" si="2"/>
        <v>3.7303456698022637</v>
      </c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641</v>
      </c>
      <c r="C15" s="184">
        <v>343334.05708333338</v>
      </c>
      <c r="D15" s="185">
        <f>C15/D3</f>
        <v>0.69961234171304143</v>
      </c>
      <c r="E15" s="186"/>
      <c r="F15" s="187"/>
      <c r="G15" s="188">
        <f>G4*D15</f>
        <v>117222.84630338695</v>
      </c>
      <c r="H15" s="189">
        <f t="shared" si="3"/>
        <v>226111.21077994641</v>
      </c>
      <c r="I15" s="197">
        <f t="shared" si="1"/>
        <v>0.69961234171304143</v>
      </c>
      <c r="J15" s="197">
        <f t="shared" si="2"/>
        <v>0.69961234171304143</v>
      </c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73820.5</v>
      </c>
      <c r="D16" s="185"/>
      <c r="E16" s="186"/>
      <c r="F16" s="187"/>
      <c r="G16" s="188"/>
      <c r="H16" s="189">
        <f t="shared" ref="H16:H17" si="4">C16</f>
        <v>73820.5</v>
      </c>
      <c r="I16" s="197">
        <f t="shared" si="1"/>
        <v>0</v>
      </c>
      <c r="J16" s="197">
        <f t="shared" si="2"/>
        <v>0.22840854592428719</v>
      </c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642</v>
      </c>
      <c r="C17" s="184">
        <f>C71-E62</f>
        <v>264208</v>
      </c>
      <c r="D17" s="185"/>
      <c r="E17" s="186"/>
      <c r="F17" s="187"/>
      <c r="G17" s="188">
        <v>0</v>
      </c>
      <c r="H17" s="189">
        <f t="shared" si="4"/>
        <v>264208</v>
      </c>
      <c r="I17" s="197">
        <f t="shared" si="1"/>
        <v>0</v>
      </c>
      <c r="J17" s="197">
        <f t="shared" si="2"/>
        <v>0.81748789430529556</v>
      </c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643</v>
      </c>
      <c r="C18" s="318">
        <f>C83</f>
        <v>143294.16999999998</v>
      </c>
      <c r="D18" s="319">
        <f>C18/D3</f>
        <v>0.29199075291034721</v>
      </c>
      <c r="E18" s="202"/>
      <c r="F18" s="203"/>
      <c r="G18" s="204">
        <f>D18*G4</f>
        <v>48924.218613140314</v>
      </c>
      <c r="H18" s="205">
        <f>C18-G18</f>
        <v>94369.95138685967</v>
      </c>
      <c r="I18" s="197">
        <f t="shared" si="1"/>
        <v>0.29199075291034721</v>
      </c>
      <c r="J18" s="197">
        <f t="shared" si="2"/>
        <v>0.29199075291034721</v>
      </c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4746977.6767365048</v>
      </c>
      <c r="D19" s="268"/>
      <c r="E19" s="269"/>
      <c r="F19" s="270"/>
      <c r="G19" s="271">
        <f t="shared" ref="G19:H19" si="5">SUM(G6:G18)</f>
        <v>1011018.783885667</v>
      </c>
      <c r="H19" s="272">
        <f t="shared" si="5"/>
        <v>3735958.8928508377</v>
      </c>
      <c r="I19" s="214"/>
      <c r="J19" s="250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6">C20-G20</f>
        <v>0</v>
      </c>
      <c r="I20" s="197">
        <f t="shared" ref="I20:I21" si="7">G20/$G$4</f>
        <v>0</v>
      </c>
      <c r="J20" s="197">
        <f t="shared" ref="J20:J21" si="8">H20/$H$4</f>
        <v>0</v>
      </c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6"/>
        <v>323195</v>
      </c>
      <c r="I21" s="197">
        <f t="shared" si="7"/>
        <v>1</v>
      </c>
      <c r="J21" s="197">
        <f t="shared" si="8"/>
        <v>1</v>
      </c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5237726.6767365048</v>
      </c>
      <c r="D22" s="282"/>
      <c r="E22" s="283"/>
      <c r="F22" s="284"/>
      <c r="G22" s="285">
        <f t="shared" ref="G22:H22" si="9">G19+G20+G21</f>
        <v>1178572.7838856671</v>
      </c>
      <c r="H22" s="286">
        <f t="shared" si="9"/>
        <v>4059153.8928508377</v>
      </c>
      <c r="I22" s="68"/>
      <c r="J22" s="250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10.672923789424949</v>
      </c>
      <c r="D23" s="290"/>
      <c r="E23" s="291"/>
      <c r="F23" s="292"/>
      <c r="G23" s="295">
        <f>(G19+G20+G21)/G4</f>
        <v>7.0339877525195886</v>
      </c>
      <c r="H23" s="294">
        <f>(H20+H21+H19)/H4</f>
        <v>12.55945758087482</v>
      </c>
      <c r="I23" s="343">
        <f t="shared" ref="I23:J23" si="10">SUM(I6:I22)</f>
        <v>7.0339877525195877</v>
      </c>
      <c r="J23" s="343">
        <f t="shared" si="10"/>
        <v>12.559457580874824</v>
      </c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68"/>
      <c r="D24" s="247"/>
      <c r="E24" s="68"/>
      <c r="F24" s="68"/>
      <c r="G24" s="248"/>
      <c r="H24" s="24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214"/>
      <c r="H25" s="214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4.2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26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410</v>
      </c>
      <c r="D33" s="192">
        <v>180.05</v>
      </c>
      <c r="E33" s="310">
        <f>C33*D33</f>
        <v>73820.5</v>
      </c>
      <c r="F33" s="330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557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10000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531</v>
      </c>
      <c r="C39" s="310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5</v>
      </c>
      <c r="B40" s="187" t="s">
        <v>583</v>
      </c>
      <c r="C40" s="310">
        <v>24000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6</v>
      </c>
      <c r="B41" s="187" t="s">
        <v>410</v>
      </c>
      <c r="C41" s="310">
        <v>70000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2.75" customHeight="1" x14ac:dyDescent="0.25">
      <c r="A42" s="254">
        <v>7</v>
      </c>
      <c r="B42" s="187" t="s">
        <v>559</v>
      </c>
      <c r="C42" s="338">
        <v>1800</v>
      </c>
      <c r="D42" s="68"/>
      <c r="E42" s="214"/>
      <c r="F42" s="68"/>
      <c r="G42" s="214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2.75" customHeight="1" x14ac:dyDescent="0.25">
      <c r="A43" s="254"/>
      <c r="B43" s="187"/>
      <c r="C43" s="338"/>
      <c r="D43" s="68"/>
      <c r="E43" s="214"/>
      <c r="F43" s="68"/>
      <c r="G43" s="214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61"/>
      <c r="B44" s="311" t="s">
        <v>35</v>
      </c>
      <c r="C44" s="312">
        <f>SUM(C36:C43)</f>
        <v>236800</v>
      </c>
      <c r="D44" s="68"/>
      <c r="E44" s="214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2.75" customHeight="1" x14ac:dyDescent="0.25">
      <c r="A45" s="249"/>
      <c r="B45" s="68"/>
      <c r="C45" s="68"/>
      <c r="D45" s="68"/>
      <c r="E45" s="214"/>
      <c r="F45" s="68"/>
      <c r="G45" s="21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2.75" customHeight="1" x14ac:dyDescent="0.25">
      <c r="A46" s="261" t="s">
        <v>298</v>
      </c>
      <c r="B46" s="261" t="s">
        <v>560</v>
      </c>
      <c r="C46" s="261" t="s">
        <v>309</v>
      </c>
      <c r="D46" s="68"/>
      <c r="E46" s="214"/>
      <c r="F46" s="68"/>
      <c r="G46" s="21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2.75" customHeight="1" x14ac:dyDescent="0.25">
      <c r="A47" s="254">
        <v>1</v>
      </c>
      <c r="B47" s="187" t="s">
        <v>532</v>
      </c>
      <c r="C47" s="310">
        <v>36110</v>
      </c>
      <c r="D47" s="68"/>
      <c r="E47" s="214"/>
      <c r="F47" s="68"/>
      <c r="G47" s="214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2.75" customHeight="1" x14ac:dyDescent="0.25">
      <c r="A48" s="254">
        <v>2</v>
      </c>
      <c r="B48" s="187" t="s">
        <v>533</v>
      </c>
      <c r="C48" s="310">
        <v>5000</v>
      </c>
      <c r="D48" s="68"/>
      <c r="E48" s="214"/>
      <c r="F48" s="68"/>
      <c r="G48" s="214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2.75" customHeight="1" x14ac:dyDescent="0.25">
      <c r="A49" s="254"/>
      <c r="B49" s="187"/>
      <c r="C49" s="310"/>
      <c r="D49" s="68"/>
      <c r="E49" s="214"/>
      <c r="F49" s="68"/>
      <c r="G49" s="214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2.75" customHeight="1" x14ac:dyDescent="0.25">
      <c r="A50" s="261"/>
      <c r="B50" s="311" t="s">
        <v>35</v>
      </c>
      <c r="C50" s="312">
        <f>SUM(C47:C49)</f>
        <v>41110</v>
      </c>
      <c r="D50" s="68"/>
      <c r="E50" s="214"/>
      <c r="F50" s="68"/>
      <c r="G50" s="214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2.75" customHeight="1" x14ac:dyDescent="0.25">
      <c r="A51" s="249"/>
      <c r="B51" s="68"/>
      <c r="C51" s="68"/>
      <c r="D51" s="68"/>
      <c r="E51" s="214"/>
      <c r="F51" s="68"/>
      <c r="G51" s="214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2.75" customHeight="1" x14ac:dyDescent="0.25">
      <c r="A52" s="261" t="s">
        <v>298</v>
      </c>
      <c r="B52" s="261" t="s">
        <v>472</v>
      </c>
      <c r="C52" s="261" t="s">
        <v>309</v>
      </c>
      <c r="D52" s="68"/>
      <c r="E52" s="214"/>
      <c r="F52" s="68"/>
      <c r="G52" s="214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2.75" customHeight="1" x14ac:dyDescent="0.25">
      <c r="A53" s="254"/>
      <c r="B53" s="187"/>
      <c r="C53" s="310"/>
      <c r="D53" s="68"/>
      <c r="E53" s="214"/>
      <c r="F53" s="68"/>
      <c r="G53" s="214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3.5" customHeight="1" x14ac:dyDescent="0.25">
      <c r="A54" s="254"/>
      <c r="B54" s="187"/>
      <c r="C54" s="310"/>
      <c r="D54" s="68"/>
      <c r="E54" s="214"/>
      <c r="F54" s="68"/>
      <c r="G54" s="214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61"/>
      <c r="B55" s="311" t="s">
        <v>35</v>
      </c>
      <c r="C55" s="312">
        <f>C53+C54</f>
        <v>0</v>
      </c>
      <c r="D55" s="68"/>
      <c r="E55" s="214"/>
      <c r="F55" s="68"/>
      <c r="G55" s="214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49"/>
      <c r="B56" s="68"/>
      <c r="C56" s="68"/>
      <c r="D56" s="68"/>
      <c r="E56" s="214"/>
      <c r="F56" s="68"/>
      <c r="G56" s="214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61" t="s">
        <v>298</v>
      </c>
      <c r="B57" s="261" t="s">
        <v>122</v>
      </c>
      <c r="C57" s="261" t="s">
        <v>309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54">
        <v>2</v>
      </c>
      <c r="B58" s="187" t="s">
        <v>584</v>
      </c>
      <c r="C58" s="338">
        <v>3001</v>
      </c>
      <c r="D58" s="68"/>
      <c r="E58" s="214"/>
      <c r="F58" s="68"/>
      <c r="G58" s="214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2.75" customHeight="1" x14ac:dyDescent="0.25">
      <c r="A59" s="254">
        <v>3</v>
      </c>
      <c r="B59" s="187" t="s">
        <v>607</v>
      </c>
      <c r="C59" s="338">
        <v>3312</v>
      </c>
      <c r="D59" s="68"/>
      <c r="E59" s="214"/>
      <c r="F59" s="68"/>
      <c r="G59" s="214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1</v>
      </c>
      <c r="B60" s="187" t="s">
        <v>606</v>
      </c>
      <c r="C60" s="187">
        <v>31000</v>
      </c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54">
        <v>3</v>
      </c>
      <c r="B61" s="187" t="s">
        <v>644</v>
      </c>
      <c r="C61" s="338">
        <v>46925</v>
      </c>
      <c r="D61" s="68"/>
      <c r="E61" s="68"/>
      <c r="F61" s="68"/>
      <c r="G61" s="68"/>
      <c r="H61" s="33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54">
        <v>4</v>
      </c>
      <c r="B62" s="187" t="s">
        <v>591</v>
      </c>
      <c r="C62" s="338">
        <v>7501</v>
      </c>
      <c r="D62" s="68"/>
      <c r="E62" s="214"/>
      <c r="F62" s="68"/>
      <c r="G62" s="68"/>
      <c r="H62" s="339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>
        <v>5</v>
      </c>
      <c r="B63" s="187" t="s">
        <v>591</v>
      </c>
      <c r="C63" s="338">
        <v>14000</v>
      </c>
      <c r="D63" s="68"/>
      <c r="E63" s="68"/>
      <c r="F63" s="68"/>
      <c r="G63" s="68"/>
      <c r="H63" s="339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54">
        <v>6</v>
      </c>
      <c r="B64" s="187" t="s">
        <v>645</v>
      </c>
      <c r="C64" s="187">
        <v>61970</v>
      </c>
      <c r="D64" s="68"/>
      <c r="E64" s="68"/>
      <c r="F64" s="68"/>
      <c r="G64" s="68"/>
      <c r="H64" s="339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54">
        <v>7</v>
      </c>
      <c r="B65" s="187" t="s">
        <v>563</v>
      </c>
      <c r="C65" s="187">
        <v>88600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54">
        <v>8</v>
      </c>
      <c r="B66" s="187" t="s">
        <v>646</v>
      </c>
      <c r="C66" s="338">
        <v>5750</v>
      </c>
      <c r="D66" s="68"/>
      <c r="E66" s="68"/>
      <c r="F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54">
        <v>9</v>
      </c>
      <c r="B67" s="187" t="s">
        <v>607</v>
      </c>
      <c r="C67" s="338">
        <v>2149</v>
      </c>
      <c r="D67" s="68"/>
      <c r="E67" s="68"/>
      <c r="F67" s="68"/>
      <c r="G67" s="68"/>
      <c r="H67" s="339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54">
        <v>10</v>
      </c>
      <c r="B68" s="187"/>
      <c r="C68" s="310"/>
      <c r="D68" s="68"/>
      <c r="E68" s="68"/>
      <c r="F68" s="68"/>
      <c r="H68" s="346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54"/>
      <c r="B69" s="187"/>
      <c r="C69" s="310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54"/>
      <c r="B70" s="187"/>
      <c r="C70" s="310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61"/>
      <c r="B71" s="311" t="s">
        <v>35</v>
      </c>
      <c r="C71" s="312">
        <f>SUM(C58:C70)</f>
        <v>264208</v>
      </c>
      <c r="D71" s="68"/>
      <c r="E71" s="68">
        <f>88294.17-55000</f>
        <v>33294.17</v>
      </c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61" t="s">
        <v>298</v>
      </c>
      <c r="B73" s="313" t="s">
        <v>349</v>
      </c>
      <c r="C73" s="261" t="s">
        <v>309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54">
        <v>1</v>
      </c>
      <c r="B74" s="187" t="s">
        <v>647</v>
      </c>
      <c r="C74" s="195">
        <v>110949.31320719243</v>
      </c>
      <c r="D74" s="68"/>
      <c r="E74" s="68"/>
      <c r="F74" s="250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54">
        <v>2</v>
      </c>
      <c r="B75" s="187" t="s">
        <v>648</v>
      </c>
      <c r="C75" s="342">
        <v>1244733.6364459791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61"/>
      <c r="B76" s="311" t="s">
        <v>35</v>
      </c>
      <c r="C76" s="312">
        <f>SUM(C74:C75)</f>
        <v>1355682.9496531715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49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61" t="s">
        <v>298</v>
      </c>
      <c r="B78" s="328" t="s">
        <v>274</v>
      </c>
      <c r="C78" s="261" t="s">
        <v>309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3">
      <c r="A79" s="254">
        <v>1</v>
      </c>
      <c r="B79" s="187" t="s">
        <v>517</v>
      </c>
      <c r="C79" s="322">
        <v>1100000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3">
      <c r="A80" s="254">
        <v>2</v>
      </c>
      <c r="B80" s="187" t="s">
        <v>631</v>
      </c>
      <c r="C80" s="322">
        <f>88294.17*12</f>
        <v>1059530.04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61"/>
      <c r="B81" s="311" t="s">
        <v>649</v>
      </c>
      <c r="C81" s="312">
        <v>55000</v>
      </c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54"/>
      <c r="B82" s="311" t="s">
        <v>650</v>
      </c>
      <c r="C82" s="347">
        <v>88294.17</v>
      </c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54"/>
      <c r="B83" s="187"/>
      <c r="C83" s="327">
        <f>SUM(C81:C82)</f>
        <v>143294.16999999998</v>
      </c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3.5" customHeight="1" x14ac:dyDescent="0.25">
      <c r="A278" s="249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62"/>
      <c r="U278" s="162"/>
      <c r="V278" s="162"/>
      <c r="W278" s="162"/>
      <c r="X278" s="162"/>
      <c r="Y278" s="162"/>
      <c r="Z278" s="162"/>
    </row>
    <row r="279" spans="1:26" ht="13.5" customHeight="1" x14ac:dyDescent="0.25">
      <c r="A279" s="249"/>
      <c r="B279" s="68"/>
      <c r="C279" s="68"/>
      <c r="D279" s="68"/>
      <c r="E279" s="68"/>
      <c r="F279" s="68"/>
      <c r="G279" s="68"/>
      <c r="H279" s="68"/>
      <c r="K279" s="68"/>
      <c r="L279" s="68"/>
      <c r="M279" s="68"/>
      <c r="N279" s="68"/>
      <c r="O279" s="68"/>
      <c r="P279" s="68"/>
      <c r="Q279" s="68"/>
      <c r="R279" s="68"/>
      <c r="S279" s="68"/>
      <c r="T279" s="162"/>
      <c r="U279" s="162"/>
      <c r="V279" s="162"/>
      <c r="W279" s="162"/>
      <c r="X279" s="162"/>
      <c r="Y279" s="162"/>
      <c r="Z279" s="162"/>
    </row>
    <row r="280" spans="1:26" ht="13.5" customHeight="1" x14ac:dyDescent="0.25">
      <c r="A280" s="249"/>
      <c r="B280" s="68"/>
      <c r="C280" s="68"/>
      <c r="D280" s="68"/>
      <c r="E280" s="68"/>
      <c r="F280" s="68"/>
      <c r="G280" s="68"/>
      <c r="H280" s="68"/>
      <c r="K280" s="68"/>
      <c r="L280" s="68"/>
      <c r="M280" s="68"/>
      <c r="N280" s="68"/>
      <c r="O280" s="68"/>
      <c r="P280" s="68"/>
      <c r="Q280" s="68"/>
      <c r="R280" s="68"/>
      <c r="S280" s="68"/>
      <c r="T280" s="162"/>
      <c r="U280" s="162"/>
      <c r="V280" s="162"/>
      <c r="W280" s="162"/>
      <c r="X280" s="162"/>
      <c r="Y280" s="162"/>
      <c r="Z280" s="162"/>
    </row>
    <row r="281" spans="1:26" ht="13.5" customHeight="1" x14ac:dyDescent="0.25">
      <c r="A281" s="249"/>
      <c r="B281" s="68"/>
      <c r="C281" s="68"/>
      <c r="D281" s="68"/>
      <c r="E281" s="68"/>
      <c r="F281" s="68"/>
      <c r="G281" s="68"/>
      <c r="H281" s="68"/>
      <c r="K281" s="68"/>
      <c r="L281" s="68"/>
      <c r="M281" s="68"/>
      <c r="N281" s="68"/>
      <c r="O281" s="68"/>
      <c r="P281" s="68"/>
      <c r="Q281" s="68"/>
      <c r="R281" s="68"/>
      <c r="S281" s="68"/>
      <c r="T281" s="162"/>
      <c r="U281" s="162"/>
      <c r="V281" s="162"/>
      <c r="W281" s="162"/>
      <c r="X281" s="162"/>
      <c r="Y281" s="162"/>
      <c r="Z281" s="162"/>
    </row>
    <row r="282" spans="1:26" ht="13.5" customHeight="1" x14ac:dyDescent="0.25">
      <c r="A282" s="249"/>
      <c r="B282" s="68"/>
      <c r="C282" s="68"/>
      <c r="D282" s="68"/>
      <c r="E282" s="68"/>
      <c r="F282" s="68"/>
      <c r="G282" s="68"/>
      <c r="H282" s="68"/>
      <c r="K282" s="68"/>
      <c r="L282" s="68"/>
      <c r="M282" s="68"/>
      <c r="N282" s="68"/>
      <c r="O282" s="68"/>
      <c r="P282" s="68"/>
      <c r="Q282" s="68"/>
      <c r="R282" s="68"/>
      <c r="S282" s="68"/>
      <c r="T282" s="162"/>
      <c r="U282" s="162"/>
      <c r="V282" s="162"/>
      <c r="W282" s="162"/>
      <c r="X282" s="162"/>
      <c r="Y282" s="162"/>
      <c r="Z282" s="162"/>
    </row>
    <row r="283" spans="1:26" ht="13.5" customHeight="1" x14ac:dyDescent="0.25">
      <c r="A283" s="249"/>
      <c r="B283" s="68"/>
      <c r="C283" s="68"/>
      <c r="D283" s="68"/>
      <c r="E283" s="68"/>
      <c r="F283" s="68"/>
      <c r="G283" s="68"/>
      <c r="H283" s="68"/>
      <c r="K283" s="68"/>
      <c r="L283" s="68"/>
      <c r="M283" s="68"/>
      <c r="N283" s="68"/>
      <c r="O283" s="68"/>
      <c r="P283" s="68"/>
      <c r="Q283" s="68"/>
      <c r="R283" s="68"/>
      <c r="S283" s="68"/>
      <c r="T283" s="162"/>
      <c r="U283" s="162"/>
      <c r="V283" s="162"/>
      <c r="W283" s="162"/>
      <c r="X283" s="162"/>
      <c r="Y283" s="162"/>
      <c r="Z283" s="162"/>
    </row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9.28515625" customWidth="1"/>
    <col min="4" max="4" width="16" customWidth="1"/>
    <col min="5" max="5" width="16.28515625" customWidth="1"/>
    <col min="6" max="6" width="14.28515625" customWidth="1"/>
    <col min="7" max="7" width="55.5703125" customWidth="1"/>
    <col min="8" max="8" width="17.7109375" customWidth="1"/>
    <col min="9" max="9" width="22" customWidth="1"/>
    <col min="10" max="10" width="16.140625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651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7.7876462514261497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652</v>
      </c>
      <c r="C6" s="348">
        <f>302500+127500</f>
        <v>430000</v>
      </c>
      <c r="D6" s="185">
        <f>C6/D3</f>
        <v>0.87621166828663943</v>
      </c>
      <c r="E6" s="186"/>
      <c r="F6" s="187"/>
      <c r="G6" s="188">
        <f>D6*G4</f>
        <v>146812.7698680996</v>
      </c>
      <c r="H6" s="189">
        <f t="shared" ref="H6:H8" si="0">C6-G6</f>
        <v>283187.2301319004</v>
      </c>
      <c r="I6" s="197">
        <f t="shared" ref="I6:I18" si="1">G6/$G$4</f>
        <v>0.87621166828663954</v>
      </c>
      <c r="J6" s="197">
        <f t="shared" ref="J6:J18" si="2">H6/$H$4</f>
        <v>0.87621166828663932</v>
      </c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653</v>
      </c>
      <c r="C7" s="348">
        <v>467212</v>
      </c>
      <c r="D7" s="185">
        <f>C7/D3</f>
        <v>0.95203861851985438</v>
      </c>
      <c r="E7" s="191">
        <f>C7*(D29)</f>
        <v>151463.40302684525</v>
      </c>
      <c r="F7" s="192">
        <f>E7/D3</f>
        <v>0.30863721174540398</v>
      </c>
      <c r="G7" s="188">
        <f>F7*G4</f>
        <v>51713.399376789421</v>
      </c>
      <c r="H7" s="189">
        <f t="shared" si="0"/>
        <v>415498.6006232106</v>
      </c>
      <c r="I7" s="197">
        <f t="shared" si="1"/>
        <v>0.30863721174540398</v>
      </c>
      <c r="J7" s="197">
        <f t="shared" si="2"/>
        <v>1.2855972419845931</v>
      </c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654</v>
      </c>
      <c r="C8" s="348">
        <v>458301</v>
      </c>
      <c r="D8" s="185">
        <f>C8/D3</f>
        <v>0.9338806599707794</v>
      </c>
      <c r="E8" s="191">
        <f>C8*D28</f>
        <v>313421.86840743991</v>
      </c>
      <c r="F8" s="192">
        <f>E8/D3</f>
        <v>0.63866022835999647</v>
      </c>
      <c r="G8" s="193">
        <f>F8*G4</f>
        <v>107010.07590263085</v>
      </c>
      <c r="H8" s="189">
        <f t="shared" si="0"/>
        <v>351290.92409736913</v>
      </c>
      <c r="I8" s="197">
        <f t="shared" si="1"/>
        <v>0.63866022835999647</v>
      </c>
      <c r="J8" s="197">
        <f t="shared" si="2"/>
        <v>1.086931803082873</v>
      </c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655</v>
      </c>
      <c r="C9" s="348">
        <v>795848</v>
      </c>
      <c r="D9" s="185">
        <f>C9/D3</f>
        <v>1.6217007064711288</v>
      </c>
      <c r="E9" s="186"/>
      <c r="F9" s="187"/>
      <c r="G9" s="188">
        <f>G4*D9</f>
        <v>271722.44017206354</v>
      </c>
      <c r="H9" s="189">
        <f>H4*D9</f>
        <v>524125.55982793646</v>
      </c>
      <c r="I9" s="197">
        <f t="shared" si="1"/>
        <v>1.6217007064711288</v>
      </c>
      <c r="J9" s="197">
        <f t="shared" si="2"/>
        <v>1.6217007064711288</v>
      </c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550</v>
      </c>
      <c r="C10" s="184">
        <f>C44</f>
        <v>161497</v>
      </c>
      <c r="D10" s="185">
        <f>C10/D3</f>
        <v>0.32908268789136608</v>
      </c>
      <c r="E10" s="186"/>
      <c r="F10" s="187"/>
      <c r="G10" s="188">
        <f>D10*G4</f>
        <v>55139.120686949951</v>
      </c>
      <c r="H10" s="189">
        <f t="shared" ref="H10:H15" si="3">C10-G10</f>
        <v>106357.87931305004</v>
      </c>
      <c r="I10" s="197">
        <f t="shared" si="1"/>
        <v>0.32908268789136608</v>
      </c>
      <c r="J10" s="197">
        <f t="shared" si="2"/>
        <v>0.32908268789136602</v>
      </c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551</v>
      </c>
      <c r="C11" s="184">
        <f>C50</f>
        <v>36970</v>
      </c>
      <c r="D11" s="185">
        <f>C11/D3</f>
        <v>7.533382645710944E-2</v>
      </c>
      <c r="E11" s="186"/>
      <c r="F11" s="187"/>
      <c r="G11" s="188">
        <v>0</v>
      </c>
      <c r="H11" s="189">
        <f t="shared" si="3"/>
        <v>36970</v>
      </c>
      <c r="I11" s="197">
        <f t="shared" si="1"/>
        <v>0</v>
      </c>
      <c r="J11" s="197">
        <f t="shared" si="2"/>
        <v>0.11438914587168737</v>
      </c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656</v>
      </c>
      <c r="C12" s="184">
        <f>C55</f>
        <v>2055</v>
      </c>
      <c r="D12" s="185">
        <f>C12/D3</f>
        <v>4.1874766937884745E-3</v>
      </c>
      <c r="E12" s="191">
        <f t="shared" ref="E12:E13" si="4">C12*D28</f>
        <v>1405.3688287332757</v>
      </c>
      <c r="F12" s="192">
        <f>E12/D3</f>
        <v>2.8637222464707531E-3</v>
      </c>
      <c r="G12" s="188">
        <f>F12*G4</f>
        <v>479.82811728516054</v>
      </c>
      <c r="H12" s="189">
        <f t="shared" si="3"/>
        <v>1575.1718827148395</v>
      </c>
      <c r="I12" s="197">
        <f t="shared" si="1"/>
        <v>2.8637222464707531E-3</v>
      </c>
      <c r="J12" s="197">
        <f t="shared" si="2"/>
        <v>4.8737507780591887E-3</v>
      </c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95"/>
      <c r="D13" s="185">
        <f>C13/D3</f>
        <v>0</v>
      </c>
      <c r="E13" s="191">
        <f t="shared" si="4"/>
        <v>0</v>
      </c>
      <c r="F13" s="192">
        <f>E13/D3</f>
        <v>0</v>
      </c>
      <c r="G13" s="188">
        <f>F13*G4</f>
        <v>0</v>
      </c>
      <c r="H13" s="189">
        <f t="shared" si="3"/>
        <v>0</v>
      </c>
      <c r="I13" s="197">
        <f t="shared" si="1"/>
        <v>0</v>
      </c>
      <c r="J13" s="197">
        <f t="shared" si="2"/>
        <v>0</v>
      </c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657</v>
      </c>
      <c r="C14" s="195">
        <f>C74</f>
        <v>1063539.4755004293</v>
      </c>
      <c r="D14" s="196">
        <f>C14/D3</f>
        <v>2.1671760421323922</v>
      </c>
      <c r="E14" s="191">
        <f>C14*(D29)</f>
        <v>344784.18408063392</v>
      </c>
      <c r="F14" s="192">
        <f>E14/D3</f>
        <v>0.70256726774916289</v>
      </c>
      <c r="G14" s="188">
        <f>F14*G4</f>
        <v>117717.95598044324</v>
      </c>
      <c r="H14" s="189">
        <f t="shared" si="3"/>
        <v>945821.519519986</v>
      </c>
      <c r="I14" s="197">
        <f t="shared" si="1"/>
        <v>0.70256726774916289</v>
      </c>
      <c r="J14" s="197">
        <f t="shared" si="2"/>
        <v>2.9264732422221447</v>
      </c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658</v>
      </c>
      <c r="C15" s="184">
        <v>263062.96474070201</v>
      </c>
      <c r="D15" s="185">
        <f>C15/D3</f>
        <v>0.53604381209274399</v>
      </c>
      <c r="E15" s="186"/>
      <c r="F15" s="187"/>
      <c r="G15" s="188">
        <f>G4*D15</f>
        <v>89816.284891387622</v>
      </c>
      <c r="H15" s="189">
        <f t="shared" si="3"/>
        <v>173246.67984931439</v>
      </c>
      <c r="I15" s="197">
        <f t="shared" si="1"/>
        <v>0.53604381209274399</v>
      </c>
      <c r="J15" s="197">
        <f t="shared" si="2"/>
        <v>0.53604381209274399</v>
      </c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92365.650000000009</v>
      </c>
      <c r="D16" s="185"/>
      <c r="E16" s="186"/>
      <c r="F16" s="187"/>
      <c r="G16" s="188"/>
      <c r="H16" s="189">
        <f t="shared" ref="H16:H17" si="5">C16</f>
        <v>92365.650000000009</v>
      </c>
      <c r="I16" s="197">
        <f t="shared" si="1"/>
        <v>0</v>
      </c>
      <c r="J16" s="197">
        <f t="shared" si="2"/>
        <v>0.28578922941258378</v>
      </c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659</v>
      </c>
      <c r="C17" s="184">
        <f>C69-F58</f>
        <v>263190</v>
      </c>
      <c r="D17" s="185"/>
      <c r="E17" s="186"/>
      <c r="F17" s="187"/>
      <c r="G17" s="188">
        <v>0</v>
      </c>
      <c r="H17" s="189">
        <f t="shared" si="5"/>
        <v>263190</v>
      </c>
      <c r="I17" s="197">
        <f t="shared" si="1"/>
        <v>0</v>
      </c>
      <c r="J17" s="197">
        <f t="shared" si="2"/>
        <v>0.81433809310168781</v>
      </c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660</v>
      </c>
      <c r="C18" s="318">
        <f>C81</f>
        <v>143294.16999999998</v>
      </c>
      <c r="D18" s="319">
        <f>C18/D3</f>
        <v>0.29199075291034721</v>
      </c>
      <c r="E18" s="202"/>
      <c r="F18" s="203"/>
      <c r="G18" s="204">
        <f>D18*G4</f>
        <v>48924.218613140314</v>
      </c>
      <c r="H18" s="205">
        <f>C18-G18</f>
        <v>94369.95138685967</v>
      </c>
      <c r="I18" s="197">
        <f t="shared" si="1"/>
        <v>0.29199075291034721</v>
      </c>
      <c r="J18" s="197">
        <f t="shared" si="2"/>
        <v>0.29199075291034721</v>
      </c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4177335.2602411308</v>
      </c>
      <c r="D19" s="268"/>
      <c r="E19" s="269"/>
      <c r="F19" s="270"/>
      <c r="G19" s="271">
        <f t="shared" ref="G19:H19" si="6">SUM(G6:G18)</f>
        <v>889336.09360878961</v>
      </c>
      <c r="H19" s="272">
        <f t="shared" si="6"/>
        <v>3287999.1666323417</v>
      </c>
      <c r="I19" s="214"/>
      <c r="J19" s="250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7">C20-G20</f>
        <v>0</v>
      </c>
      <c r="I20" s="197">
        <f t="shared" ref="I20:I21" si="8">G20/$G$4</f>
        <v>0</v>
      </c>
      <c r="J20" s="197">
        <f t="shared" ref="J20:J21" si="9">H20/$H$4</f>
        <v>0</v>
      </c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7"/>
        <v>323195</v>
      </c>
      <c r="I21" s="197">
        <f t="shared" si="8"/>
        <v>1</v>
      </c>
      <c r="J21" s="197">
        <f t="shared" si="9"/>
        <v>1</v>
      </c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4668084.2602411304</v>
      </c>
      <c r="D22" s="282"/>
      <c r="E22" s="283"/>
      <c r="F22" s="284"/>
      <c r="G22" s="285">
        <f t="shared" ref="G22:H22" si="10">G19+G20+G21</f>
        <v>1056890.0936087896</v>
      </c>
      <c r="H22" s="286">
        <f t="shared" si="10"/>
        <v>3611194.1666323417</v>
      </c>
      <c r="I22" s="68"/>
      <c r="J22" s="250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9.5121625520197295</v>
      </c>
      <c r="D23" s="290"/>
      <c r="E23" s="291"/>
      <c r="F23" s="292"/>
      <c r="G23" s="295">
        <f>(G19+G20+G21)/G4</f>
        <v>6.3077580577532597</v>
      </c>
      <c r="H23" s="294">
        <f>(H20+H21+H19)/H4</f>
        <v>11.173422134105854</v>
      </c>
      <c r="I23" s="343">
        <f t="shared" ref="I23:J23" si="11">SUM(I6:I22)</f>
        <v>6.3077580577532597</v>
      </c>
      <c r="J23" s="343">
        <f t="shared" si="11"/>
        <v>11.173422134105854</v>
      </c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214"/>
      <c r="D24" s="247"/>
      <c r="E24" s="68"/>
      <c r="F24" s="68"/>
      <c r="G24" s="214"/>
      <c r="H24" s="214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68"/>
      <c r="H25" s="68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4.2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27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513</v>
      </c>
      <c r="D33" s="192">
        <v>180.05</v>
      </c>
      <c r="E33" s="310">
        <f>C33*D33</f>
        <v>92365.650000000009</v>
      </c>
      <c r="F33" s="330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2.75" customHeight="1" x14ac:dyDescent="0.25">
      <c r="A35" s="261" t="s">
        <v>298</v>
      </c>
      <c r="B35" s="261" t="s">
        <v>557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49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49">
        <v>10000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49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531</v>
      </c>
      <c r="C39" s="349">
        <f>80000</f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5</v>
      </c>
      <c r="B40" s="187" t="s">
        <v>583</v>
      </c>
      <c r="C40" s="349">
        <v>15696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6</v>
      </c>
      <c r="B41" s="187" t="s">
        <v>410</v>
      </c>
      <c r="C41" s="310">
        <v>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2.75" customHeight="1" x14ac:dyDescent="0.25">
      <c r="A42" s="254">
        <v>7</v>
      </c>
      <c r="B42" s="187" t="s">
        <v>559</v>
      </c>
      <c r="C42" s="350">
        <v>1800</v>
      </c>
      <c r="D42" s="68"/>
      <c r="E42" s="214"/>
      <c r="F42" s="68"/>
      <c r="G42" s="214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54"/>
      <c r="B43" s="187" t="s">
        <v>661</v>
      </c>
      <c r="C43" s="349">
        <v>3001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61"/>
      <c r="B44" s="311" t="s">
        <v>35</v>
      </c>
      <c r="C44" s="312">
        <f>SUM(C36:C43)</f>
        <v>161497</v>
      </c>
      <c r="D44" s="68"/>
      <c r="E44" s="214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335"/>
      <c r="B45" s="336"/>
      <c r="C45" s="337"/>
      <c r="D45" s="68"/>
      <c r="E45" s="214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2.75" customHeight="1" x14ac:dyDescent="0.25">
      <c r="A46" s="261" t="s">
        <v>298</v>
      </c>
      <c r="B46" s="261" t="s">
        <v>560</v>
      </c>
      <c r="C46" s="261" t="s">
        <v>309</v>
      </c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54">
        <v>1</v>
      </c>
      <c r="B47" s="187" t="s">
        <v>532</v>
      </c>
      <c r="C47" s="349">
        <v>36970</v>
      </c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54"/>
      <c r="B48" s="187"/>
      <c r="C48" s="310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54"/>
      <c r="B49" s="187"/>
      <c r="C49" s="310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3.5" customHeight="1" x14ac:dyDescent="0.25">
      <c r="A50" s="261"/>
      <c r="B50" s="311" t="s">
        <v>35</v>
      </c>
      <c r="C50" s="312">
        <f>SUM(C47:C49)</f>
        <v>36970</v>
      </c>
      <c r="D50" s="68"/>
      <c r="E50" s="214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2.75" customHeight="1" x14ac:dyDescent="0.25">
      <c r="A51" s="249"/>
      <c r="B51" s="68"/>
      <c r="C51" s="68"/>
      <c r="D51" s="68"/>
      <c r="E51" s="214"/>
      <c r="F51" s="68"/>
      <c r="G51" s="214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2.75" customHeight="1" x14ac:dyDescent="0.25">
      <c r="A52" s="261" t="s">
        <v>298</v>
      </c>
      <c r="B52" s="261" t="s">
        <v>472</v>
      </c>
      <c r="C52" s="261" t="s">
        <v>309</v>
      </c>
      <c r="D52" s="68"/>
      <c r="E52" s="214"/>
      <c r="F52" s="68"/>
      <c r="G52" s="214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2.75" customHeight="1" x14ac:dyDescent="0.25">
      <c r="A53" s="254">
        <v>1</v>
      </c>
      <c r="B53" s="187" t="s">
        <v>605</v>
      </c>
      <c r="C53" s="349">
        <v>2055</v>
      </c>
      <c r="D53" s="68"/>
      <c r="E53" s="214"/>
      <c r="F53" s="68"/>
      <c r="G53" s="214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3.5" customHeight="1" x14ac:dyDescent="0.25">
      <c r="A54" s="254"/>
      <c r="B54" s="187"/>
      <c r="C54" s="338"/>
      <c r="D54" s="68"/>
      <c r="E54" s="214"/>
      <c r="F54" s="68"/>
      <c r="G54" s="214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61"/>
      <c r="B55" s="311" t="s">
        <v>35</v>
      </c>
      <c r="C55" s="312">
        <f>SUM(C53:C54)</f>
        <v>2055</v>
      </c>
      <c r="D55" s="68"/>
      <c r="E55" s="214"/>
      <c r="F55" s="68"/>
      <c r="G55" s="214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49"/>
      <c r="B56" s="68"/>
      <c r="C56" s="68"/>
      <c r="D56" s="68"/>
      <c r="E56" s="214"/>
      <c r="F56" s="68"/>
      <c r="G56" s="214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61" t="s">
        <v>298</v>
      </c>
      <c r="B57" s="261" t="s">
        <v>122</v>
      </c>
      <c r="C57" s="261" t="s">
        <v>309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54">
        <v>1</v>
      </c>
      <c r="B58" s="187" t="s">
        <v>606</v>
      </c>
      <c r="C58" s="351">
        <v>20000</v>
      </c>
      <c r="D58" s="68"/>
      <c r="E58" s="68"/>
      <c r="F58" s="214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54">
        <v>2</v>
      </c>
      <c r="B59" s="187" t="s">
        <v>662</v>
      </c>
      <c r="C59" s="350">
        <v>5000</v>
      </c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3</v>
      </c>
      <c r="B60" s="187" t="s">
        <v>663</v>
      </c>
      <c r="C60" s="350">
        <v>9760</v>
      </c>
      <c r="D60" s="68"/>
      <c r="E60" s="339"/>
      <c r="F60" s="68"/>
      <c r="G60" s="68"/>
      <c r="H60" s="33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54">
        <v>4</v>
      </c>
      <c r="B61" s="187" t="s">
        <v>664</v>
      </c>
      <c r="C61" s="350">
        <v>76000</v>
      </c>
      <c r="D61" s="68"/>
      <c r="E61" s="68"/>
      <c r="F61" s="68"/>
      <c r="G61" s="68"/>
      <c r="H61" s="33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54">
        <v>5</v>
      </c>
      <c r="B62" s="187" t="s">
        <v>665</v>
      </c>
      <c r="C62" s="350">
        <v>4368</v>
      </c>
      <c r="D62" s="68"/>
      <c r="E62" s="339"/>
      <c r="F62" s="68"/>
      <c r="H62" s="346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>
        <v>6</v>
      </c>
      <c r="B63" s="187" t="s">
        <v>607</v>
      </c>
      <c r="C63" s="338">
        <f>12490-3001</f>
        <v>9489</v>
      </c>
      <c r="D63" s="68"/>
      <c r="E63" s="68"/>
      <c r="F63" s="68"/>
      <c r="G63" s="68"/>
      <c r="H63" s="339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54">
        <v>7</v>
      </c>
      <c r="B64" s="324" t="s">
        <v>644</v>
      </c>
      <c r="C64" s="324">
        <v>126248</v>
      </c>
      <c r="D64" s="352"/>
      <c r="E64" s="352"/>
      <c r="F64" s="352"/>
      <c r="G64" s="353"/>
      <c r="H64" s="354"/>
      <c r="I64" s="68"/>
      <c r="J64" s="68"/>
      <c r="K64" s="352"/>
      <c r="L64" s="352"/>
      <c r="M64" s="352"/>
      <c r="N64" s="352"/>
      <c r="O64" s="352"/>
      <c r="P64" s="352"/>
      <c r="Q64" s="352"/>
      <c r="R64" s="352"/>
      <c r="S64" s="352"/>
      <c r="T64" s="355"/>
      <c r="U64" s="355"/>
      <c r="V64" s="355"/>
      <c r="W64" s="355"/>
      <c r="X64" s="355"/>
      <c r="Y64" s="355"/>
      <c r="Z64" s="355"/>
    </row>
    <row r="65" spans="1:26" ht="13.5" customHeight="1" x14ac:dyDescent="0.25">
      <c r="A65" s="254">
        <v>8</v>
      </c>
      <c r="B65" s="187" t="s">
        <v>662</v>
      </c>
      <c r="C65" s="350">
        <v>10000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54">
        <v>9</v>
      </c>
      <c r="B66" s="187" t="s">
        <v>666</v>
      </c>
      <c r="C66" s="350">
        <v>2325</v>
      </c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54"/>
      <c r="B67" s="187"/>
      <c r="C67" s="350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54"/>
      <c r="B68" s="187"/>
      <c r="C68" s="350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61"/>
      <c r="B69" s="311" t="s">
        <v>35</v>
      </c>
      <c r="C69" s="312">
        <f>SUM(C58:C68)</f>
        <v>263190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49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61" t="s">
        <v>298</v>
      </c>
      <c r="B71" s="313" t="s">
        <v>349</v>
      </c>
      <c r="C71" s="261" t="s">
        <v>309</v>
      </c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54">
        <v>1</v>
      </c>
      <c r="B72" s="187" t="s">
        <v>667</v>
      </c>
      <c r="C72" s="195">
        <v>151225.84165149429</v>
      </c>
      <c r="D72" s="68"/>
      <c r="E72" s="68"/>
      <c r="F72" s="250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54">
        <v>2</v>
      </c>
      <c r="B73" s="187" t="s">
        <v>668</v>
      </c>
      <c r="C73" s="342">
        <v>912313.6338489349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61"/>
      <c r="B74" s="311" t="s">
        <v>35</v>
      </c>
      <c r="C74" s="312">
        <f>SUM(C72:C73)</f>
        <v>1063539.4755004293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49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61" t="s">
        <v>298</v>
      </c>
      <c r="B76" s="328" t="s">
        <v>274</v>
      </c>
      <c r="C76" s="261" t="s">
        <v>309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3">
      <c r="A77" s="254">
        <v>1</v>
      </c>
      <c r="B77" s="187" t="s">
        <v>517</v>
      </c>
      <c r="C77" s="322">
        <v>1100000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3">
      <c r="A78" s="254">
        <v>2</v>
      </c>
      <c r="B78" s="187" t="s">
        <v>631</v>
      </c>
      <c r="C78" s="322">
        <f>88294.17*12</f>
        <v>1059530.04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61"/>
      <c r="B79" s="311" t="s">
        <v>669</v>
      </c>
      <c r="C79" s="312">
        <v>55000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54"/>
      <c r="B80" s="311" t="s">
        <v>670</v>
      </c>
      <c r="C80" s="347">
        <v>88294.17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54"/>
      <c r="B81" s="187"/>
      <c r="C81" s="327">
        <f>SUM(C79:C80)</f>
        <v>143294.16999999998</v>
      </c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3.5" customHeight="1" x14ac:dyDescent="0.25">
      <c r="A278" s="249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62"/>
      <c r="U278" s="162"/>
      <c r="V278" s="162"/>
      <c r="W278" s="162"/>
      <c r="X278" s="162"/>
      <c r="Y278" s="162"/>
      <c r="Z278" s="162"/>
    </row>
    <row r="279" spans="1:26" ht="13.5" customHeight="1" x14ac:dyDescent="0.25">
      <c r="A279" s="249"/>
      <c r="B279" s="68"/>
      <c r="C279" s="68"/>
      <c r="D279" s="68"/>
      <c r="E279" s="68"/>
      <c r="F279" s="68"/>
      <c r="G279" s="68"/>
      <c r="H279" s="68"/>
      <c r="K279" s="68"/>
      <c r="L279" s="68"/>
      <c r="M279" s="68"/>
      <c r="N279" s="68"/>
      <c r="O279" s="68"/>
      <c r="P279" s="68"/>
      <c r="Q279" s="68"/>
      <c r="R279" s="68"/>
      <c r="S279" s="68"/>
      <c r="T279" s="162"/>
      <c r="U279" s="162"/>
      <c r="V279" s="162"/>
      <c r="W279" s="162"/>
      <c r="X279" s="162"/>
      <c r="Y279" s="162"/>
      <c r="Z279" s="162"/>
    </row>
    <row r="280" spans="1:26" ht="13.5" customHeight="1" x14ac:dyDescent="0.25">
      <c r="A280" s="249"/>
      <c r="B280" s="68"/>
      <c r="C280" s="68"/>
      <c r="D280" s="68"/>
      <c r="E280" s="68"/>
      <c r="F280" s="68"/>
      <c r="G280" s="68"/>
      <c r="H280" s="68"/>
      <c r="K280" s="68"/>
      <c r="L280" s="68"/>
      <c r="M280" s="68"/>
      <c r="N280" s="68"/>
      <c r="O280" s="68"/>
      <c r="P280" s="68"/>
      <c r="Q280" s="68"/>
      <c r="R280" s="68"/>
      <c r="S280" s="68"/>
      <c r="T280" s="162"/>
      <c r="U280" s="162"/>
      <c r="V280" s="162"/>
      <c r="W280" s="162"/>
      <c r="X280" s="162"/>
      <c r="Y280" s="162"/>
      <c r="Z280" s="162"/>
    </row>
    <row r="281" spans="1:26" ht="13.5" customHeight="1" x14ac:dyDescent="0.25">
      <c r="A281" s="249"/>
      <c r="B281" s="68"/>
      <c r="C281" s="68"/>
      <c r="D281" s="68"/>
      <c r="E281" s="68"/>
      <c r="F281" s="68"/>
      <c r="G281" s="68"/>
      <c r="H281" s="68"/>
      <c r="K281" s="68"/>
      <c r="L281" s="68"/>
      <c r="M281" s="68"/>
      <c r="N281" s="68"/>
      <c r="O281" s="68"/>
      <c r="P281" s="68"/>
      <c r="Q281" s="68"/>
      <c r="R281" s="68"/>
      <c r="S281" s="68"/>
      <c r="T281" s="162"/>
      <c r="U281" s="162"/>
      <c r="V281" s="162"/>
      <c r="W281" s="162"/>
      <c r="X281" s="162"/>
      <c r="Y281" s="162"/>
      <c r="Z281" s="162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9.28515625" customWidth="1"/>
    <col min="4" max="4" width="16" customWidth="1"/>
    <col min="5" max="5" width="16.28515625" customWidth="1"/>
    <col min="6" max="6" width="14.28515625" customWidth="1"/>
    <col min="7" max="7" width="17.42578125" customWidth="1"/>
    <col min="8" max="8" width="17.7109375" customWidth="1"/>
    <col min="9" max="9" width="22" customWidth="1"/>
    <col min="10" max="10" width="16.140625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671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8.7023368643510199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672</v>
      </c>
      <c r="C6" s="356">
        <f>302500+127500</f>
        <v>430000</v>
      </c>
      <c r="D6" s="185">
        <f>C6/D3</f>
        <v>0.87621166828663943</v>
      </c>
      <c r="E6" s="186"/>
      <c r="F6" s="187"/>
      <c r="G6" s="188">
        <f>D6*G4</f>
        <v>146812.7698680996</v>
      </c>
      <c r="H6" s="189">
        <f t="shared" ref="H6:H8" si="0">C6-G6</f>
        <v>283187.2301319004</v>
      </c>
      <c r="I6" s="197">
        <f t="shared" ref="I6:I18" si="1">G6/$G$4</f>
        <v>0.87621166828663954</v>
      </c>
      <c r="J6" s="197">
        <f t="shared" ref="J6:J18" si="2">H6/$H$4</f>
        <v>0.87621166828663932</v>
      </c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673</v>
      </c>
      <c r="C7" s="356">
        <v>513432</v>
      </c>
      <c r="D7" s="185">
        <f>C7/D3</f>
        <v>1.0462211843528972</v>
      </c>
      <c r="E7" s="191">
        <f>C7*(D29)</f>
        <v>166447.26150629524</v>
      </c>
      <c r="F7" s="192">
        <f>E7/D3</f>
        <v>0.33916984345621742</v>
      </c>
      <c r="G7" s="188">
        <f>F7*G4</f>
        <v>56829.263950463057</v>
      </c>
      <c r="H7" s="189">
        <f t="shared" si="0"/>
        <v>456602.73604953696</v>
      </c>
      <c r="I7" s="197">
        <f t="shared" si="1"/>
        <v>0.33916984345621742</v>
      </c>
      <c r="J7" s="197">
        <f t="shared" si="2"/>
        <v>1.4127778463452001</v>
      </c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674</v>
      </c>
      <c r="C8" s="356">
        <f>369706+375889</f>
        <v>745595</v>
      </c>
      <c r="D8" s="185">
        <f>C8/D3</f>
        <v>1.5193000902701788</v>
      </c>
      <c r="E8" s="191">
        <f>C8*D28</f>
        <v>509895.85005322954</v>
      </c>
      <c r="F8" s="192">
        <f>E8/D3</f>
        <v>1.0390155661106382</v>
      </c>
      <c r="G8" s="193">
        <f>F8*G4</f>
        <v>174091.21416410187</v>
      </c>
      <c r="H8" s="189">
        <f t="shared" si="0"/>
        <v>571503.78583589813</v>
      </c>
      <c r="I8" s="197">
        <f t="shared" si="1"/>
        <v>1.0390155661106382</v>
      </c>
      <c r="J8" s="197">
        <f t="shared" si="2"/>
        <v>1.7682940201299466</v>
      </c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675</v>
      </c>
      <c r="C9" s="356">
        <v>805517</v>
      </c>
      <c r="D9" s="185">
        <f>C9/D3</f>
        <v>1.6414032427982532</v>
      </c>
      <c r="E9" s="186"/>
      <c r="F9" s="187"/>
      <c r="G9" s="188">
        <f>G4*D9</f>
        <v>275023.67894381849</v>
      </c>
      <c r="H9" s="189">
        <f>H4*D9</f>
        <v>530493.32105618145</v>
      </c>
      <c r="I9" s="197">
        <f t="shared" si="1"/>
        <v>1.641403242798253</v>
      </c>
      <c r="J9" s="197">
        <f t="shared" si="2"/>
        <v>1.6414032427982532</v>
      </c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550</v>
      </c>
      <c r="C10" s="356">
        <f>C44</f>
        <v>233897</v>
      </c>
      <c r="D10" s="185">
        <f>C10/D3</f>
        <v>0.47661228041218628</v>
      </c>
      <c r="E10" s="186"/>
      <c r="F10" s="187"/>
      <c r="G10" s="188">
        <f>D10*G4</f>
        <v>79858.294032183461</v>
      </c>
      <c r="H10" s="189">
        <f t="shared" ref="H10:H15" si="3">C10-G10</f>
        <v>154038.70596781652</v>
      </c>
      <c r="I10" s="197">
        <f t="shared" si="1"/>
        <v>0.47661228041218628</v>
      </c>
      <c r="J10" s="197">
        <f t="shared" si="2"/>
        <v>0.47661228041218623</v>
      </c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551</v>
      </c>
      <c r="C11" s="356">
        <f>C50</f>
        <v>39169</v>
      </c>
      <c r="D11" s="185">
        <f>C11/D3</f>
        <v>7.9814732174696229E-2</v>
      </c>
      <c r="E11" s="186"/>
      <c r="F11" s="187"/>
      <c r="G11" s="188">
        <v>0</v>
      </c>
      <c r="H11" s="189">
        <f t="shared" si="3"/>
        <v>39169</v>
      </c>
      <c r="I11" s="197">
        <f t="shared" si="1"/>
        <v>0</v>
      </c>
      <c r="J11" s="197">
        <f t="shared" si="2"/>
        <v>0.12119308776435279</v>
      </c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676</v>
      </c>
      <c r="C12" s="184">
        <v>0</v>
      </c>
      <c r="D12" s="185">
        <f>C12/D3</f>
        <v>0</v>
      </c>
      <c r="E12" s="191">
        <f t="shared" ref="E12:E13" si="4">C12*D28</f>
        <v>0</v>
      </c>
      <c r="F12" s="192">
        <f>E12/D3</f>
        <v>0</v>
      </c>
      <c r="G12" s="188">
        <f>F12*G4</f>
        <v>0</v>
      </c>
      <c r="H12" s="189">
        <f t="shared" si="3"/>
        <v>0</v>
      </c>
      <c r="I12" s="197">
        <f t="shared" si="1"/>
        <v>0</v>
      </c>
      <c r="J12" s="197">
        <f t="shared" si="2"/>
        <v>0</v>
      </c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95">
        <f>C56</f>
        <v>0</v>
      </c>
      <c r="D13" s="185">
        <f>C13/D3</f>
        <v>0</v>
      </c>
      <c r="E13" s="191">
        <f t="shared" si="4"/>
        <v>0</v>
      </c>
      <c r="F13" s="192">
        <f>E13/D3</f>
        <v>0</v>
      </c>
      <c r="G13" s="188">
        <f>F13*G4</f>
        <v>0</v>
      </c>
      <c r="H13" s="189">
        <f t="shared" si="3"/>
        <v>0</v>
      </c>
      <c r="I13" s="197">
        <f t="shared" si="1"/>
        <v>0</v>
      </c>
      <c r="J13" s="197">
        <f t="shared" si="2"/>
        <v>0</v>
      </c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677</v>
      </c>
      <c r="C14" s="356">
        <f>C74</f>
        <v>1117852.3438433991</v>
      </c>
      <c r="D14" s="196">
        <f>C14/D3</f>
        <v>2.277849458365476</v>
      </c>
      <c r="E14" s="191">
        <f>C14*(D29)</f>
        <v>362391.63394787878</v>
      </c>
      <c r="F14" s="192">
        <f>E14/D3</f>
        <v>0.73844599570835356</v>
      </c>
      <c r="G14" s="188">
        <f>F14*G4</f>
        <v>123729.58036491748</v>
      </c>
      <c r="H14" s="189">
        <f t="shared" si="3"/>
        <v>994122.76347848156</v>
      </c>
      <c r="I14" s="197">
        <f t="shared" si="1"/>
        <v>0.73844599570835356</v>
      </c>
      <c r="J14" s="197">
        <f t="shared" si="2"/>
        <v>3.0759224724345411</v>
      </c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678</v>
      </c>
      <c r="C15" s="356">
        <v>241906.6</v>
      </c>
      <c r="D15" s="185">
        <f>C15/D3</f>
        <v>0.49293345478034595</v>
      </c>
      <c r="E15" s="186"/>
      <c r="F15" s="187"/>
      <c r="G15" s="188">
        <f>G4*D15</f>
        <v>82592.972082266089</v>
      </c>
      <c r="H15" s="189">
        <f t="shared" si="3"/>
        <v>159313.62791773392</v>
      </c>
      <c r="I15" s="197">
        <f t="shared" si="1"/>
        <v>0.49293345478034595</v>
      </c>
      <c r="J15" s="197">
        <f t="shared" si="2"/>
        <v>0.49293345478034595</v>
      </c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356">
        <f>E33</f>
        <v>86784.1</v>
      </c>
      <c r="D16" s="185"/>
      <c r="E16" s="186"/>
      <c r="F16" s="187"/>
      <c r="G16" s="188"/>
      <c r="H16" s="189">
        <f t="shared" ref="H16:H17" si="5">C16</f>
        <v>86784.1</v>
      </c>
      <c r="I16" s="197">
        <f t="shared" si="1"/>
        <v>0</v>
      </c>
      <c r="J16" s="197">
        <f t="shared" si="2"/>
        <v>0.26851931496464987</v>
      </c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679</v>
      </c>
      <c r="C17" s="356">
        <f>C69</f>
        <v>268739</v>
      </c>
      <c r="D17" s="185"/>
      <c r="E17" s="186"/>
      <c r="F17" s="187"/>
      <c r="G17" s="188">
        <v>0</v>
      </c>
      <c r="H17" s="189">
        <f t="shared" si="5"/>
        <v>268739</v>
      </c>
      <c r="I17" s="197">
        <f t="shared" si="1"/>
        <v>0</v>
      </c>
      <c r="J17" s="197">
        <f t="shared" si="2"/>
        <v>0.83150729435789539</v>
      </c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680</v>
      </c>
      <c r="C18" s="357">
        <f>C81</f>
        <v>143294.16999999998</v>
      </c>
      <c r="D18" s="319">
        <f>C18/D3</f>
        <v>0.29199075291034721</v>
      </c>
      <c r="E18" s="202"/>
      <c r="F18" s="203"/>
      <c r="G18" s="204">
        <f>D18*G4</f>
        <v>48924.218613140314</v>
      </c>
      <c r="H18" s="205">
        <f>C18-G18</f>
        <v>94369.95138685967</v>
      </c>
      <c r="I18" s="197">
        <f t="shared" si="1"/>
        <v>0.29199075291034721</v>
      </c>
      <c r="J18" s="197">
        <f t="shared" si="2"/>
        <v>0.29199075291034721</v>
      </c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4626186.2138433987</v>
      </c>
      <c r="D19" s="268"/>
      <c r="E19" s="269"/>
      <c r="F19" s="270"/>
      <c r="G19" s="271">
        <f t="shared" ref="G19:H19" si="6">SUM(G6:G18)</f>
        <v>987861.99201899034</v>
      </c>
      <c r="H19" s="272">
        <f t="shared" si="6"/>
        <v>3638324.221824409</v>
      </c>
      <c r="I19" s="214"/>
      <c r="J19" s="250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7">C20-G20</f>
        <v>0</v>
      </c>
      <c r="I20" s="197">
        <f t="shared" ref="I20:I21" si="8">G20/$G$4</f>
        <v>0</v>
      </c>
      <c r="J20" s="197">
        <f t="shared" ref="J20:J21" si="9">H20/$H$4</f>
        <v>0</v>
      </c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7"/>
        <v>323195</v>
      </c>
      <c r="I21" s="197">
        <f t="shared" si="8"/>
        <v>1</v>
      </c>
      <c r="J21" s="197">
        <f t="shared" si="9"/>
        <v>1</v>
      </c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5116935.2138433987</v>
      </c>
      <c r="D22" s="282"/>
      <c r="E22" s="283"/>
      <c r="F22" s="284"/>
      <c r="G22" s="285">
        <f t="shared" ref="G22:H22" si="10">G19+G20+G21</f>
        <v>1155415.9920189902</v>
      </c>
      <c r="H22" s="286">
        <f t="shared" si="10"/>
        <v>3961519.221824409</v>
      </c>
      <c r="I22" s="68"/>
      <c r="J22" s="250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10.426786837759014</v>
      </c>
      <c r="D23" s="290"/>
      <c r="E23" s="291"/>
      <c r="F23" s="292"/>
      <c r="G23" s="295">
        <f>(G19+G20+G21)/G4</f>
        <v>6.8957828044629803</v>
      </c>
      <c r="H23" s="294">
        <f>(H20+H21+H19)/H4</f>
        <v>12.25736543518436</v>
      </c>
      <c r="I23" s="343">
        <f t="shared" ref="I23:J23" si="11">SUM(I6:I22)</f>
        <v>6.8957828044629812</v>
      </c>
      <c r="J23" s="343">
        <f t="shared" si="11"/>
        <v>12.257365435184356</v>
      </c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214"/>
      <c r="D24" s="247"/>
      <c r="E24" s="68"/>
      <c r="F24" s="68"/>
      <c r="G24" s="214"/>
      <c r="H24" s="214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68"/>
      <c r="H25" s="68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4.2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28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482</v>
      </c>
      <c r="D33" s="192">
        <v>180.05</v>
      </c>
      <c r="E33" s="310">
        <f>C33*D33</f>
        <v>86784.1</v>
      </c>
      <c r="F33" s="330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557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58">
        <v>42097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58">
        <v>10000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58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531</v>
      </c>
      <c r="C39" s="358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7</v>
      </c>
      <c r="B40" s="187" t="s">
        <v>583</v>
      </c>
      <c r="C40" s="358">
        <v>24000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323">
        <v>8</v>
      </c>
      <c r="B41" s="324" t="s">
        <v>410</v>
      </c>
      <c r="C41" s="325">
        <v>70000</v>
      </c>
      <c r="D41" s="352"/>
      <c r="E41" s="352"/>
      <c r="F41" s="352"/>
      <c r="G41" s="352"/>
      <c r="H41" s="352"/>
      <c r="I41" s="68"/>
      <c r="J41" s="68"/>
      <c r="K41" s="352"/>
      <c r="L41" s="352"/>
      <c r="M41" s="352"/>
      <c r="N41" s="352"/>
      <c r="O41" s="352"/>
      <c r="P41" s="352"/>
      <c r="Q41" s="352"/>
      <c r="R41" s="352"/>
      <c r="S41" s="352"/>
      <c r="T41" s="355"/>
      <c r="U41" s="355"/>
      <c r="V41" s="355"/>
      <c r="W41" s="355"/>
      <c r="X41" s="355"/>
      <c r="Y41" s="355"/>
      <c r="Z41" s="355"/>
    </row>
    <row r="42" spans="1:26" ht="12.75" customHeight="1" x14ac:dyDescent="0.25">
      <c r="A42" s="254">
        <v>9</v>
      </c>
      <c r="B42" s="187" t="s">
        <v>559</v>
      </c>
      <c r="C42" s="358">
        <v>1800</v>
      </c>
      <c r="D42" s="68"/>
      <c r="E42" s="214"/>
      <c r="F42" s="68"/>
      <c r="G42" s="214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54"/>
      <c r="B43" s="187"/>
      <c r="C43" s="310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61"/>
      <c r="B44" s="311" t="s">
        <v>35</v>
      </c>
      <c r="C44" s="312">
        <f>SUM(C36:C43)</f>
        <v>233897</v>
      </c>
      <c r="D44" s="68"/>
      <c r="E44" s="214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2.75" customHeight="1" x14ac:dyDescent="0.25">
      <c r="A45" s="249"/>
      <c r="B45" s="68"/>
      <c r="C45" s="68"/>
      <c r="D45" s="68"/>
      <c r="E45" s="214"/>
      <c r="F45" s="68"/>
      <c r="G45" s="21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61" t="s">
        <v>298</v>
      </c>
      <c r="B46" s="261" t="s">
        <v>560</v>
      </c>
      <c r="C46" s="261" t="s">
        <v>309</v>
      </c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54">
        <v>5</v>
      </c>
      <c r="B47" s="187" t="s">
        <v>532</v>
      </c>
      <c r="C47" s="358">
        <v>34169</v>
      </c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54">
        <v>6</v>
      </c>
      <c r="B48" s="187" t="s">
        <v>533</v>
      </c>
      <c r="C48" s="358">
        <v>5000</v>
      </c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54"/>
      <c r="B49" s="187"/>
      <c r="C49" s="310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3.5" customHeight="1" x14ac:dyDescent="0.25">
      <c r="A50" s="261"/>
      <c r="B50" s="311" t="s">
        <v>35</v>
      </c>
      <c r="C50" s="312">
        <f>SUM(C47:C49)</f>
        <v>39169</v>
      </c>
      <c r="D50" s="68"/>
      <c r="E50" s="214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2.75" customHeight="1" x14ac:dyDescent="0.25">
      <c r="A51" s="249"/>
      <c r="B51" s="68"/>
      <c r="C51" s="68"/>
      <c r="D51" s="68"/>
      <c r="E51" s="214"/>
      <c r="F51" s="68"/>
      <c r="G51" s="214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2.75" customHeight="1" x14ac:dyDescent="0.25">
      <c r="A52" s="249"/>
      <c r="B52" s="68"/>
      <c r="C52" s="68"/>
      <c r="D52" s="68"/>
      <c r="E52" s="214"/>
      <c r="F52" s="68"/>
      <c r="G52" s="214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5.75" customHeight="1" x14ac:dyDescent="0.25">
      <c r="A53" s="261" t="s">
        <v>298</v>
      </c>
      <c r="B53" s="261" t="s">
        <v>472</v>
      </c>
      <c r="C53" s="261" t="s">
        <v>309</v>
      </c>
      <c r="D53" s="68"/>
      <c r="E53" s="214"/>
      <c r="F53" s="68"/>
      <c r="G53" s="214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2.75" customHeight="1" x14ac:dyDescent="0.25">
      <c r="A54" s="254">
        <v>4</v>
      </c>
      <c r="B54" s="187"/>
      <c r="C54" s="310"/>
      <c r="D54" s="68"/>
      <c r="E54" s="214"/>
      <c r="F54" s="68"/>
      <c r="G54" s="214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54">
        <v>6</v>
      </c>
      <c r="B55" s="187"/>
      <c r="C55" s="310"/>
      <c r="D55" s="68"/>
      <c r="E55" s="214"/>
      <c r="F55" s="68"/>
      <c r="G55" s="214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61"/>
      <c r="B56" s="311" t="s">
        <v>35</v>
      </c>
      <c r="C56" s="312">
        <f>C54+C55</f>
        <v>0</v>
      </c>
      <c r="D56" s="68"/>
      <c r="E56" s="214"/>
      <c r="F56" s="68"/>
      <c r="G56" s="214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49"/>
      <c r="B57" s="68"/>
      <c r="C57" s="68"/>
      <c r="D57" s="68"/>
      <c r="E57" s="214"/>
      <c r="F57" s="68"/>
      <c r="G57" s="214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61" t="s">
        <v>298</v>
      </c>
      <c r="B58" s="261" t="s">
        <v>122</v>
      </c>
      <c r="C58" s="261" t="s">
        <v>309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54">
        <v>1</v>
      </c>
      <c r="B59" s="187" t="s">
        <v>681</v>
      </c>
      <c r="C59" s="358">
        <v>100000</v>
      </c>
      <c r="D59" s="68"/>
      <c r="E59" s="68"/>
      <c r="F59" s="214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2</v>
      </c>
      <c r="B60" s="187" t="s">
        <v>682</v>
      </c>
      <c r="C60" s="358">
        <v>35665</v>
      </c>
      <c r="D60" s="68"/>
      <c r="E60" s="68"/>
      <c r="F60" s="68"/>
      <c r="G60" s="329"/>
      <c r="H60" s="32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54">
        <v>3</v>
      </c>
      <c r="B61" s="187" t="s">
        <v>683</v>
      </c>
      <c r="C61" s="358">
        <v>18755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54">
        <v>4</v>
      </c>
      <c r="B62" s="187" t="s">
        <v>684</v>
      </c>
      <c r="C62" s="358">
        <v>74330</v>
      </c>
      <c r="D62" s="68"/>
      <c r="E62" s="339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>
        <v>5</v>
      </c>
      <c r="B63" s="187" t="s">
        <v>564</v>
      </c>
      <c r="C63" s="358">
        <v>15270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54">
        <v>6</v>
      </c>
      <c r="B64" s="187" t="s">
        <v>685</v>
      </c>
      <c r="C64" s="358">
        <v>8045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54">
        <v>7</v>
      </c>
      <c r="B65" s="187" t="s">
        <v>608</v>
      </c>
      <c r="C65" s="358">
        <f>9222+2532</f>
        <v>11754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54">
        <v>8</v>
      </c>
      <c r="B66" s="187" t="s">
        <v>665</v>
      </c>
      <c r="C66" s="358">
        <v>4920</v>
      </c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54">
        <v>9</v>
      </c>
      <c r="B67" s="187"/>
      <c r="C67" s="310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54"/>
      <c r="B68" s="187"/>
      <c r="C68" s="310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61"/>
      <c r="B69" s="311" t="s">
        <v>35</v>
      </c>
      <c r="C69" s="312">
        <f>SUM(C59:C68)</f>
        <v>268739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49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61" t="s">
        <v>298</v>
      </c>
      <c r="B71" s="313" t="s">
        <v>349</v>
      </c>
      <c r="C71" s="261" t="s">
        <v>309</v>
      </c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54">
        <v>1</v>
      </c>
      <c r="B72" s="187" t="s">
        <v>686</v>
      </c>
      <c r="C72" s="195">
        <v>24926.617716767894</v>
      </c>
      <c r="D72" s="68"/>
      <c r="E72" s="68"/>
      <c r="F72" s="250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54">
        <v>2</v>
      </c>
      <c r="B73" s="187" t="s">
        <v>687</v>
      </c>
      <c r="C73" s="342">
        <v>1092925.7261266313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61"/>
      <c r="B74" s="311" t="s">
        <v>35</v>
      </c>
      <c r="C74" s="312">
        <f>SUM(C72:C73)</f>
        <v>1117852.3438433991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49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61" t="s">
        <v>298</v>
      </c>
      <c r="B76" s="328" t="s">
        <v>274</v>
      </c>
      <c r="C76" s="261" t="s">
        <v>309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3">
      <c r="A77" s="254">
        <v>1</v>
      </c>
      <c r="B77" s="187" t="s">
        <v>517</v>
      </c>
      <c r="C77" s="322">
        <v>1100000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3">
      <c r="A78" s="254">
        <v>2</v>
      </c>
      <c r="B78" s="187" t="s">
        <v>631</v>
      </c>
      <c r="C78" s="322">
        <f>88294.17*12</f>
        <v>1059530.04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61"/>
      <c r="B79" s="311" t="s">
        <v>688</v>
      </c>
      <c r="C79" s="312">
        <v>55000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54"/>
      <c r="B80" s="311" t="s">
        <v>689</v>
      </c>
      <c r="C80" s="347">
        <v>88294.17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54"/>
      <c r="B81" s="187"/>
      <c r="C81" s="327">
        <f>SUM(C79:C80)</f>
        <v>143294.16999999998</v>
      </c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3.5" customHeight="1" x14ac:dyDescent="0.25">
      <c r="A278" s="249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62"/>
      <c r="U278" s="162"/>
      <c r="V278" s="162"/>
      <c r="W278" s="162"/>
      <c r="X278" s="162"/>
      <c r="Y278" s="162"/>
      <c r="Z278" s="162"/>
    </row>
    <row r="279" spans="1:26" ht="13.5" customHeight="1" x14ac:dyDescent="0.25">
      <c r="A279" s="249"/>
      <c r="B279" s="68"/>
      <c r="C279" s="68"/>
      <c r="D279" s="68"/>
      <c r="E279" s="68"/>
      <c r="F279" s="68"/>
      <c r="G279" s="68"/>
      <c r="H279" s="68"/>
      <c r="K279" s="68"/>
      <c r="L279" s="68"/>
      <c r="M279" s="68"/>
      <c r="N279" s="68"/>
      <c r="O279" s="68"/>
      <c r="P279" s="68"/>
      <c r="Q279" s="68"/>
      <c r="R279" s="68"/>
      <c r="S279" s="68"/>
      <c r="T279" s="162"/>
      <c r="U279" s="162"/>
      <c r="V279" s="162"/>
      <c r="W279" s="162"/>
      <c r="X279" s="162"/>
      <c r="Y279" s="162"/>
      <c r="Z279" s="162"/>
    </row>
    <row r="280" spans="1:26" ht="13.5" customHeight="1" x14ac:dyDescent="0.25">
      <c r="A280" s="249"/>
      <c r="B280" s="68"/>
      <c r="C280" s="68"/>
      <c r="D280" s="68"/>
      <c r="E280" s="68"/>
      <c r="F280" s="68"/>
      <c r="G280" s="68"/>
      <c r="H280" s="68"/>
      <c r="K280" s="68"/>
      <c r="L280" s="68"/>
      <c r="M280" s="68"/>
      <c r="N280" s="68"/>
      <c r="O280" s="68"/>
      <c r="P280" s="68"/>
      <c r="Q280" s="68"/>
      <c r="R280" s="68"/>
      <c r="S280" s="68"/>
      <c r="T280" s="162"/>
      <c r="U280" s="162"/>
      <c r="V280" s="162"/>
      <c r="W280" s="162"/>
      <c r="X280" s="162"/>
      <c r="Y280" s="162"/>
      <c r="Z280" s="162"/>
    </row>
    <row r="281" spans="1:26" ht="13.5" customHeight="1" x14ac:dyDescent="0.25">
      <c r="A281" s="249"/>
      <c r="B281" s="68"/>
      <c r="C281" s="68"/>
      <c r="D281" s="68"/>
      <c r="E281" s="68"/>
      <c r="F281" s="68"/>
      <c r="G281" s="68"/>
      <c r="H281" s="68"/>
      <c r="K281" s="68"/>
      <c r="L281" s="68"/>
      <c r="M281" s="68"/>
      <c r="N281" s="68"/>
      <c r="O281" s="68"/>
      <c r="P281" s="68"/>
      <c r="Q281" s="68"/>
      <c r="R281" s="68"/>
      <c r="S281" s="68"/>
      <c r="T281" s="162"/>
      <c r="U281" s="162"/>
      <c r="V281" s="162"/>
      <c r="W281" s="162"/>
      <c r="X281" s="162"/>
      <c r="Y281" s="162"/>
      <c r="Z281" s="162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9.28515625" customWidth="1"/>
    <col min="4" max="4" width="16" customWidth="1"/>
    <col min="5" max="5" width="16.28515625" customWidth="1"/>
    <col min="6" max="6" width="38" customWidth="1"/>
    <col min="7" max="7" width="17.42578125" customWidth="1"/>
    <col min="8" max="8" width="17.7109375" customWidth="1"/>
    <col min="9" max="9" width="22" customWidth="1"/>
    <col min="10" max="10" width="16.140625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690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8.3521072279311817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691</v>
      </c>
      <c r="C6" s="356">
        <f>302500+137500</f>
        <v>440000</v>
      </c>
      <c r="D6" s="185">
        <f>C6/D3</f>
        <v>0.89658868382818913</v>
      </c>
      <c r="E6" s="186"/>
      <c r="F6" s="187"/>
      <c r="G6" s="188">
        <f>D6*G4</f>
        <v>150227.0203301484</v>
      </c>
      <c r="H6" s="189">
        <f t="shared" ref="H6:H8" si="0">C6-G6</f>
        <v>289772.9796698516</v>
      </c>
      <c r="I6" s="197">
        <f t="shared" ref="I6:I18" si="1">G6/$G$4</f>
        <v>0.89658868382818913</v>
      </c>
      <c r="J6" s="197">
        <f t="shared" ref="J6:J18" si="2">H6/$H$4</f>
        <v>0.89658868382818913</v>
      </c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692</v>
      </c>
      <c r="C7" s="356">
        <v>498816</v>
      </c>
      <c r="D7" s="185">
        <f>C7/D3</f>
        <v>1.0164381384373682</v>
      </c>
      <c r="E7" s="191">
        <f>C7*(D29)</f>
        <v>161708.96476169029</v>
      </c>
      <c r="F7" s="192">
        <f>E7/D3</f>
        <v>0.32951460881568845</v>
      </c>
      <c r="G7" s="188">
        <f>F7*G4</f>
        <v>55211.490765503862</v>
      </c>
      <c r="H7" s="189">
        <f t="shared" si="0"/>
        <v>443604.50923449616</v>
      </c>
      <c r="I7" s="197">
        <f t="shared" si="1"/>
        <v>0.32951460881568845</v>
      </c>
      <c r="J7" s="197">
        <f t="shared" si="2"/>
        <v>1.3725599382245894</v>
      </c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693</v>
      </c>
      <c r="C8" s="356">
        <v>570028</v>
      </c>
      <c r="D8" s="185">
        <f>C8/D3</f>
        <v>1.1615469415118522</v>
      </c>
      <c r="E8" s="191">
        <f>C8*D28</f>
        <v>389829.48063512007</v>
      </c>
      <c r="F8" s="192">
        <f>E8/D3</f>
        <v>0.79435613854561105</v>
      </c>
      <c r="G8" s="193">
        <f>F8*G4</f>
        <v>133097.5484378713</v>
      </c>
      <c r="H8" s="189">
        <f t="shared" si="0"/>
        <v>436930.45156212873</v>
      </c>
      <c r="I8" s="197">
        <f t="shared" si="1"/>
        <v>0.79435613854561093</v>
      </c>
      <c r="J8" s="197">
        <f t="shared" si="2"/>
        <v>1.3519096878421037</v>
      </c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694</v>
      </c>
      <c r="C9" s="356">
        <v>812461</v>
      </c>
      <c r="D9" s="185">
        <f>C9/D3</f>
        <v>1.6555530423903055</v>
      </c>
      <c r="E9" s="186"/>
      <c r="F9" s="187"/>
      <c r="G9" s="188">
        <f>G4*D9</f>
        <v>277394.53446466528</v>
      </c>
      <c r="H9" s="189">
        <f>H4*D9</f>
        <v>535066.46553533478</v>
      </c>
      <c r="I9" s="197">
        <f t="shared" si="1"/>
        <v>1.6555530423903058</v>
      </c>
      <c r="J9" s="197">
        <f t="shared" si="2"/>
        <v>1.6555530423903055</v>
      </c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550</v>
      </c>
      <c r="C10" s="184">
        <f>C44</f>
        <v>163897</v>
      </c>
      <c r="D10" s="185">
        <f>C10/D3</f>
        <v>0.33397317162133799</v>
      </c>
      <c r="E10" s="186"/>
      <c r="F10" s="187"/>
      <c r="G10" s="188">
        <f>D10*G4</f>
        <v>55958.54079784167</v>
      </c>
      <c r="H10" s="189">
        <f t="shared" ref="H10:H15" si="3">C10-G10</f>
        <v>107938.45920215832</v>
      </c>
      <c r="I10" s="197">
        <f t="shared" si="1"/>
        <v>0.33397317162133799</v>
      </c>
      <c r="J10" s="197">
        <f t="shared" si="2"/>
        <v>0.33397317162133794</v>
      </c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551</v>
      </c>
      <c r="C11" s="184">
        <f>C49</f>
        <v>34750</v>
      </c>
      <c r="D11" s="185">
        <f>C11/D3</f>
        <v>7.0810129006885394E-2</v>
      </c>
      <c r="E11" s="186"/>
      <c r="F11" s="187"/>
      <c r="G11" s="188">
        <v>0</v>
      </c>
      <c r="H11" s="189">
        <f t="shared" si="3"/>
        <v>34750</v>
      </c>
      <c r="I11" s="197">
        <f t="shared" si="1"/>
        <v>0</v>
      </c>
      <c r="J11" s="197">
        <f t="shared" si="2"/>
        <v>0.10752022772629527</v>
      </c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695</v>
      </c>
      <c r="C12" s="184">
        <f>C55</f>
        <v>182353</v>
      </c>
      <c r="D12" s="185">
        <f>C12/D3</f>
        <v>0.37158099150482221</v>
      </c>
      <c r="E12" s="191">
        <f t="shared" ref="E12:E13" si="4">C12*D28</f>
        <v>124707.16400291923</v>
      </c>
      <c r="F12" s="192">
        <f>E12/D3</f>
        <v>0.25411598190300794</v>
      </c>
      <c r="G12" s="188">
        <f>F12*G4</f>
        <v>42578.149231776595</v>
      </c>
      <c r="H12" s="189">
        <f t="shared" si="3"/>
        <v>139774.8507682234</v>
      </c>
      <c r="I12" s="197">
        <f t="shared" si="1"/>
        <v>0.25411598190300794</v>
      </c>
      <c r="J12" s="197">
        <f t="shared" si="2"/>
        <v>0.43247838230239766</v>
      </c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95"/>
      <c r="D13" s="185">
        <f>C13/D3</f>
        <v>0</v>
      </c>
      <c r="E13" s="191">
        <f t="shared" si="4"/>
        <v>0</v>
      </c>
      <c r="F13" s="192">
        <f>E13/D3</f>
        <v>0</v>
      </c>
      <c r="G13" s="188">
        <f>F13*G4</f>
        <v>0</v>
      </c>
      <c r="H13" s="189">
        <f t="shared" si="3"/>
        <v>0</v>
      </c>
      <c r="I13" s="197">
        <f t="shared" si="1"/>
        <v>0</v>
      </c>
      <c r="J13" s="197">
        <f t="shared" si="2"/>
        <v>0</v>
      </c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696</v>
      </c>
      <c r="C14" s="195">
        <v>1076658.6399999999</v>
      </c>
      <c r="D14" s="196">
        <f>C14/D3</f>
        <v>2.1939089840223818</v>
      </c>
      <c r="E14" s="191">
        <f>C14*(D29)</f>
        <v>349037.22830889421</v>
      </c>
      <c r="F14" s="192">
        <f>E14/D3</f>
        <v>0.71123370258297869</v>
      </c>
      <c r="G14" s="188">
        <f>F14*G4</f>
        <v>119170.05180258841</v>
      </c>
      <c r="H14" s="189">
        <f t="shared" si="3"/>
        <v>957488.5881974115</v>
      </c>
      <c r="I14" s="197">
        <f t="shared" si="1"/>
        <v>0.71123370258297869</v>
      </c>
      <c r="J14" s="197">
        <f t="shared" si="2"/>
        <v>2.9625724042680472</v>
      </c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697</v>
      </c>
      <c r="C15" s="184">
        <v>176530.46</v>
      </c>
      <c r="D15" s="185">
        <f>C15/D3</f>
        <v>0.35971639269769268</v>
      </c>
      <c r="E15" s="186"/>
      <c r="F15" s="187"/>
      <c r="G15" s="188">
        <f>G4*D15</f>
        <v>60271.920462069196</v>
      </c>
      <c r="H15" s="189">
        <f t="shared" si="3"/>
        <v>116258.5395379308</v>
      </c>
      <c r="I15" s="197">
        <f t="shared" si="1"/>
        <v>0.35971639269769268</v>
      </c>
      <c r="J15" s="197">
        <f t="shared" si="2"/>
        <v>0.35971639269769273</v>
      </c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83183.100000000006</v>
      </c>
      <c r="D16" s="185"/>
      <c r="E16" s="186"/>
      <c r="F16" s="187"/>
      <c r="G16" s="188"/>
      <c r="H16" s="189">
        <f t="shared" ref="H16:H17" si="5">C16</f>
        <v>83183.100000000006</v>
      </c>
      <c r="I16" s="197">
        <f t="shared" si="1"/>
        <v>0</v>
      </c>
      <c r="J16" s="197">
        <f t="shared" si="2"/>
        <v>0.25737743467566021</v>
      </c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698</v>
      </c>
      <c r="C17" s="184">
        <f>C64</f>
        <v>405875</v>
      </c>
      <c r="D17" s="185"/>
      <c r="E17" s="186"/>
      <c r="F17" s="187"/>
      <c r="G17" s="188">
        <v>0</v>
      </c>
      <c r="H17" s="189">
        <f t="shared" si="5"/>
        <v>405875</v>
      </c>
      <c r="I17" s="197">
        <f t="shared" si="1"/>
        <v>0</v>
      </c>
      <c r="J17" s="197">
        <f t="shared" si="2"/>
        <v>1.2558207893067652</v>
      </c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699</v>
      </c>
      <c r="C18" s="318">
        <f>C77</f>
        <v>143294.16999999998</v>
      </c>
      <c r="D18" s="319">
        <f>C18/D3</f>
        <v>0.29199075291034721</v>
      </c>
      <c r="E18" s="202"/>
      <c r="F18" s="203"/>
      <c r="G18" s="204">
        <f>D18*G4</f>
        <v>48924.218613140314</v>
      </c>
      <c r="H18" s="205">
        <f>C18-G18</f>
        <v>94369.95138685967</v>
      </c>
      <c r="I18" s="197">
        <f t="shared" si="1"/>
        <v>0.29199075291034721</v>
      </c>
      <c r="J18" s="197">
        <f t="shared" si="2"/>
        <v>0.29199075291034721</v>
      </c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4587846.3699999992</v>
      </c>
      <c r="D19" s="268"/>
      <c r="E19" s="269"/>
      <c r="F19" s="270"/>
      <c r="G19" s="271">
        <f t="shared" ref="G19:H19" si="6">SUM(G6:G18)</f>
        <v>942833.47490560496</v>
      </c>
      <c r="H19" s="272">
        <f t="shared" si="6"/>
        <v>3645012.8950943951</v>
      </c>
      <c r="I19" s="214"/>
      <c r="J19" s="250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7">C20-G20</f>
        <v>0</v>
      </c>
      <c r="I20" s="197">
        <f t="shared" ref="I20:I21" si="8">G20/$G$4</f>
        <v>0</v>
      </c>
      <c r="J20" s="197">
        <f t="shared" ref="J20:J21" si="9">H20/$H$4</f>
        <v>0</v>
      </c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7"/>
        <v>323195</v>
      </c>
      <c r="I21" s="197">
        <f t="shared" si="8"/>
        <v>1</v>
      </c>
      <c r="J21" s="197">
        <f t="shared" si="9"/>
        <v>1</v>
      </c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5078595.3699999992</v>
      </c>
      <c r="D22" s="282"/>
      <c r="E22" s="283"/>
      <c r="F22" s="284"/>
      <c r="G22" s="285">
        <f t="shared" ref="G22:H22" si="10">G19+G20+G21</f>
        <v>1110387.474905605</v>
      </c>
      <c r="H22" s="286">
        <f t="shared" si="10"/>
        <v>3968207.8950943951</v>
      </c>
      <c r="I22" s="68"/>
      <c r="J22" s="250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10.34866167837326</v>
      </c>
      <c r="D23" s="290"/>
      <c r="E23" s="291"/>
      <c r="F23" s="292"/>
      <c r="G23" s="295">
        <f>(G19+G20+G21)/G4</f>
        <v>6.6270424752951582</v>
      </c>
      <c r="H23" s="294">
        <f>(H20+H21+H19)/H4</f>
        <v>12.278060907793732</v>
      </c>
      <c r="I23" s="343">
        <f t="shared" ref="I23:J23" si="11">SUM(I6:I22)</f>
        <v>6.6270424752951591</v>
      </c>
      <c r="J23" s="343">
        <f t="shared" si="11"/>
        <v>12.278060907793732</v>
      </c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214"/>
      <c r="D24" s="247"/>
      <c r="E24" s="68"/>
      <c r="F24" s="68"/>
      <c r="G24" s="214"/>
      <c r="H24" s="214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68"/>
      <c r="H25" s="68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4.2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29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462</v>
      </c>
      <c r="D33" s="192">
        <v>180.05</v>
      </c>
      <c r="E33" s="310">
        <f>C33*D33</f>
        <v>83183.100000000006</v>
      </c>
      <c r="F33" s="330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557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58">
        <v>42097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58">
        <v>10000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58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531</v>
      </c>
      <c r="C39" s="358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5</v>
      </c>
      <c r="B40" s="187" t="s">
        <v>583</v>
      </c>
      <c r="C40" s="358">
        <v>24000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6</v>
      </c>
      <c r="B41" s="187" t="s">
        <v>559</v>
      </c>
      <c r="C41" s="358">
        <v>1800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54"/>
      <c r="B42" s="187"/>
      <c r="C42" s="310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54"/>
      <c r="B43" s="187"/>
      <c r="C43" s="310"/>
      <c r="D43" s="68"/>
      <c r="E43" s="68"/>
      <c r="F43" s="68"/>
      <c r="G43" s="68">
        <v>25000</v>
      </c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61"/>
      <c r="B44" s="311" t="s">
        <v>35</v>
      </c>
      <c r="C44" s="312">
        <f>SUM(C36:C43)</f>
        <v>163897</v>
      </c>
      <c r="D44" s="68"/>
      <c r="E44" s="214"/>
      <c r="F44" s="68"/>
      <c r="G44" s="68">
        <v>52500</v>
      </c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2.75" customHeight="1" x14ac:dyDescent="0.25">
      <c r="A45" s="249"/>
      <c r="B45" s="68"/>
      <c r="C45" s="68"/>
      <c r="D45" s="68"/>
      <c r="E45" s="214"/>
      <c r="F45" s="68"/>
      <c r="G45" s="214">
        <v>60000</v>
      </c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61" t="s">
        <v>298</v>
      </c>
      <c r="B46" s="261" t="s">
        <v>560</v>
      </c>
      <c r="C46" s="261" t="s">
        <v>309</v>
      </c>
      <c r="D46" s="68"/>
      <c r="E46" s="68"/>
      <c r="F46" s="68"/>
      <c r="G46" s="68">
        <f>SUM(G43:G45)</f>
        <v>137500</v>
      </c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54">
        <v>5</v>
      </c>
      <c r="B47" s="187" t="s">
        <v>532</v>
      </c>
      <c r="C47" s="358">
        <v>34750</v>
      </c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54"/>
      <c r="B48" s="187"/>
      <c r="C48" s="310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261"/>
      <c r="B49" s="311" t="s">
        <v>35</v>
      </c>
      <c r="C49" s="312">
        <f>SUM(C47:C48)</f>
        <v>34750</v>
      </c>
      <c r="D49" s="68"/>
      <c r="E49" s="214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2.75" customHeight="1" x14ac:dyDescent="0.25">
      <c r="A50" s="249"/>
      <c r="B50" s="68"/>
      <c r="C50" s="68"/>
      <c r="D50" s="68"/>
      <c r="E50" s="214"/>
      <c r="F50" s="68"/>
      <c r="G50" s="214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2.75" customHeight="1" x14ac:dyDescent="0.25">
      <c r="A51" s="249"/>
      <c r="B51" s="68"/>
      <c r="C51" s="68"/>
      <c r="D51" s="68"/>
      <c r="E51" s="214"/>
      <c r="F51" s="68"/>
      <c r="G51" s="214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2.75" customHeight="1" x14ac:dyDescent="0.25">
      <c r="A52" s="261" t="s">
        <v>298</v>
      </c>
      <c r="B52" s="261" t="s">
        <v>472</v>
      </c>
      <c r="C52" s="261" t="s">
        <v>309</v>
      </c>
      <c r="D52" s="68"/>
      <c r="E52" s="214"/>
      <c r="F52" s="68"/>
      <c r="G52" s="214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2.75" customHeight="1" x14ac:dyDescent="0.25">
      <c r="A53" s="254">
        <v>1</v>
      </c>
      <c r="B53" s="187" t="s">
        <v>605</v>
      </c>
      <c r="C53" s="358">
        <v>182353</v>
      </c>
      <c r="D53" s="68"/>
      <c r="E53" s="214"/>
      <c r="F53" s="68"/>
      <c r="G53" s="214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2.75" customHeight="1" x14ac:dyDescent="0.25">
      <c r="A54" s="254"/>
      <c r="B54" s="187"/>
      <c r="C54" s="310"/>
      <c r="D54" s="68"/>
      <c r="E54" s="214"/>
      <c r="F54" s="68"/>
      <c r="G54" s="214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61"/>
      <c r="B55" s="311" t="s">
        <v>35</v>
      </c>
      <c r="C55" s="312">
        <f>SUM(C53:C54)</f>
        <v>182353</v>
      </c>
      <c r="D55" s="68"/>
      <c r="E55" s="214"/>
      <c r="F55" s="68"/>
      <c r="G55" s="214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49"/>
      <c r="B56" s="68"/>
      <c r="C56" s="68"/>
      <c r="D56" s="68"/>
      <c r="E56" s="214"/>
      <c r="F56" s="68"/>
      <c r="G56" s="214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61" t="s">
        <v>298</v>
      </c>
      <c r="B57" s="261" t="s">
        <v>122</v>
      </c>
      <c r="C57" s="261" t="s">
        <v>309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54">
        <v>1</v>
      </c>
      <c r="B58" s="187" t="s">
        <v>700</v>
      </c>
      <c r="C58" s="359">
        <v>136900</v>
      </c>
      <c r="D58" s="68"/>
      <c r="E58" s="68"/>
      <c r="F58" s="214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54">
        <v>2</v>
      </c>
      <c r="B59" s="187" t="s">
        <v>701</v>
      </c>
      <c r="C59" s="360">
        <v>19440</v>
      </c>
      <c r="D59" s="68"/>
      <c r="E59" s="330"/>
      <c r="F59" s="68"/>
      <c r="G59" s="329"/>
      <c r="H59" s="32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3</v>
      </c>
      <c r="B60" s="187" t="s">
        <v>702</v>
      </c>
      <c r="C60" s="360">
        <v>91999</v>
      </c>
      <c r="D60" s="68"/>
      <c r="E60" s="330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54">
        <v>4</v>
      </c>
      <c r="B61" s="187" t="s">
        <v>564</v>
      </c>
      <c r="C61" s="360">
        <v>81536</v>
      </c>
      <c r="D61" s="68"/>
      <c r="E61" s="339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54">
        <v>5</v>
      </c>
      <c r="B62" s="187" t="s">
        <v>664</v>
      </c>
      <c r="C62" s="358">
        <v>76000</v>
      </c>
      <c r="D62" s="68"/>
      <c r="E62" s="330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/>
      <c r="B63" s="187"/>
      <c r="C63" s="310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61"/>
      <c r="B64" s="311" t="s">
        <v>35</v>
      </c>
      <c r="C64" s="312">
        <f>SUM(C58:C63)</f>
        <v>405875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49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249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61" t="s">
        <v>298</v>
      </c>
      <c r="B67" s="313" t="s">
        <v>349</v>
      </c>
      <c r="C67" s="261" t="s">
        <v>309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54">
        <v>1</v>
      </c>
      <c r="B68" s="187" t="s">
        <v>703</v>
      </c>
      <c r="C68" s="195">
        <v>66794.179999999993</v>
      </c>
      <c r="D68" s="68"/>
      <c r="E68" s="68"/>
      <c r="F68" s="250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54">
        <v>2</v>
      </c>
      <c r="B69" s="187" t="s">
        <v>704</v>
      </c>
      <c r="C69" s="342">
        <v>1363364.58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61"/>
      <c r="B70" s="311" t="s">
        <v>35</v>
      </c>
      <c r="C70" s="312">
        <f>SUM(C68:C69)</f>
        <v>1430158.76</v>
      </c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49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61" t="s">
        <v>298</v>
      </c>
      <c r="B72" s="328" t="s">
        <v>274</v>
      </c>
      <c r="C72" s="261" t="s">
        <v>309</v>
      </c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3">
      <c r="A73" s="254">
        <v>1</v>
      </c>
      <c r="B73" s="187" t="s">
        <v>517</v>
      </c>
      <c r="C73" s="322">
        <v>1100000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3">
      <c r="A74" s="254">
        <v>2</v>
      </c>
      <c r="B74" s="187" t="s">
        <v>631</v>
      </c>
      <c r="C74" s="322">
        <f>88294.17*12</f>
        <v>1059530.04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61"/>
      <c r="B75" s="311" t="s">
        <v>705</v>
      </c>
      <c r="C75" s="312">
        <v>55000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54"/>
      <c r="B76" s="311" t="s">
        <v>706</v>
      </c>
      <c r="C76" s="347">
        <v>88294.17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54"/>
      <c r="B77" s="187"/>
      <c r="C77" s="327">
        <f>SUM(C75:C76)</f>
        <v>143294.16999999998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49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49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49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49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49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49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5.75" customHeight="1" x14ac:dyDescent="0.25">
      <c r="I278" s="68"/>
      <c r="J278" s="68"/>
    </row>
    <row r="279" spans="1:26" ht="15.75" customHeight="1" x14ac:dyDescent="0.25"/>
    <row r="280" spans="1:26" ht="15.75" customHeight="1" x14ac:dyDescent="0.25"/>
    <row r="281" spans="1:26" ht="15.75" customHeight="1" x14ac:dyDescent="0.25"/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9.28515625" customWidth="1"/>
    <col min="4" max="4" width="16" customWidth="1"/>
    <col min="5" max="5" width="16.28515625" customWidth="1"/>
    <col min="6" max="6" width="38" customWidth="1"/>
    <col min="7" max="7" width="17.42578125" customWidth="1"/>
    <col min="8" max="8" width="17.7109375" customWidth="1"/>
    <col min="9" max="9" width="22" customWidth="1"/>
    <col min="10" max="10" width="16.140625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707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8.7956262401219139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708</v>
      </c>
      <c r="C6" s="195">
        <f>302500+137500</f>
        <v>440000</v>
      </c>
      <c r="D6" s="185">
        <f>C6/D3</f>
        <v>0.89658868382818913</v>
      </c>
      <c r="E6" s="186"/>
      <c r="F6" s="187"/>
      <c r="G6" s="188">
        <f>D6*G4</f>
        <v>150227.0203301484</v>
      </c>
      <c r="H6" s="189">
        <f t="shared" ref="H6:H8" si="0">C6-G6</f>
        <v>289772.9796698516</v>
      </c>
      <c r="I6" s="197">
        <f t="shared" ref="I6:I18" si="1">G6/$G$4</f>
        <v>0.89658868382818913</v>
      </c>
      <c r="J6" s="197">
        <f t="shared" ref="J6:J18" si="2">H6/$H$4</f>
        <v>0.89658868382818913</v>
      </c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709</v>
      </c>
      <c r="C7" s="184">
        <v>500685</v>
      </c>
      <c r="D7" s="185">
        <f>C7/D3</f>
        <v>1.0202466026420838</v>
      </c>
      <c r="E7" s="191">
        <f>C7*(D29)</f>
        <v>162314.86765000902</v>
      </c>
      <c r="F7" s="192">
        <f>E7/D3</f>
        <v>0.33074925807288252</v>
      </c>
      <c r="G7" s="188">
        <f>F7*G4</f>
        <v>55418.361187143761</v>
      </c>
      <c r="H7" s="189">
        <f t="shared" si="0"/>
        <v>445266.63881285622</v>
      </c>
      <c r="I7" s="197">
        <f t="shared" si="1"/>
        <v>0.33074925807288252</v>
      </c>
      <c r="J7" s="197">
        <f t="shared" si="2"/>
        <v>1.3777027454411617</v>
      </c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710</v>
      </c>
      <c r="C8" s="184">
        <v>563243</v>
      </c>
      <c r="D8" s="185">
        <f>C8/D3</f>
        <v>1.1477211364669109</v>
      </c>
      <c r="E8" s="191">
        <f>C8*D28</f>
        <v>385189.36992808589</v>
      </c>
      <c r="F8" s="192">
        <f>E8/D3</f>
        <v>0.7849009777464363</v>
      </c>
      <c r="G8" s="193">
        <f>F8*G4</f>
        <v>131513.29842532639</v>
      </c>
      <c r="H8" s="189">
        <f t="shared" si="0"/>
        <v>431729.70157467364</v>
      </c>
      <c r="I8" s="197">
        <f t="shared" si="1"/>
        <v>0.7849009777464363</v>
      </c>
      <c r="J8" s="197">
        <f t="shared" si="2"/>
        <v>1.335818009482429</v>
      </c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711</v>
      </c>
      <c r="C9" s="184">
        <v>816680</v>
      </c>
      <c r="D9" s="185">
        <f>C9/D3</f>
        <v>1.6641501052472853</v>
      </c>
      <c r="E9" s="186"/>
      <c r="F9" s="187"/>
      <c r="G9" s="188">
        <f>G4*D9</f>
        <v>278835.00673460367</v>
      </c>
      <c r="H9" s="189">
        <f>H4*D9</f>
        <v>537844.99326539633</v>
      </c>
      <c r="I9" s="197">
        <f t="shared" si="1"/>
        <v>1.6641501052472853</v>
      </c>
      <c r="J9" s="197">
        <f t="shared" si="2"/>
        <v>1.6641501052472851</v>
      </c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550</v>
      </c>
      <c r="C10" s="184">
        <f>C43</f>
        <v>157810</v>
      </c>
      <c r="D10" s="185">
        <f>C10/D3</f>
        <v>0.32156968226119664</v>
      </c>
      <c r="E10" s="186"/>
      <c r="F10" s="187"/>
      <c r="G10" s="188">
        <f>D10*G4</f>
        <v>53880.286541592541</v>
      </c>
      <c r="H10" s="189">
        <f t="shared" ref="H10:H15" si="3">C10-G10</f>
        <v>103929.71345840747</v>
      </c>
      <c r="I10" s="197">
        <f t="shared" si="1"/>
        <v>0.32156968226119664</v>
      </c>
      <c r="J10" s="197">
        <f t="shared" si="2"/>
        <v>0.3215696822611967</v>
      </c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551</v>
      </c>
      <c r="C11" s="184">
        <f>C48</f>
        <v>39195</v>
      </c>
      <c r="D11" s="185">
        <f>C11/D3</f>
        <v>7.9867712415104264E-2</v>
      </c>
      <c r="E11" s="186"/>
      <c r="F11" s="187"/>
      <c r="G11" s="188">
        <v>0</v>
      </c>
      <c r="H11" s="189">
        <f t="shared" si="3"/>
        <v>39195</v>
      </c>
      <c r="I11" s="197">
        <f t="shared" si="1"/>
        <v>0</v>
      </c>
      <c r="J11" s="197">
        <f t="shared" si="2"/>
        <v>0.12127353455344297</v>
      </c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712</v>
      </c>
      <c r="C12" s="184">
        <f>C55</f>
        <v>0</v>
      </c>
      <c r="D12" s="185">
        <f>C12/D3</f>
        <v>0</v>
      </c>
      <c r="E12" s="191">
        <f t="shared" ref="E12:E13" si="4">C12*D28</f>
        <v>0</v>
      </c>
      <c r="F12" s="192">
        <f>E12/D3</f>
        <v>0</v>
      </c>
      <c r="G12" s="188">
        <f>F12*G4</f>
        <v>0</v>
      </c>
      <c r="H12" s="189">
        <f t="shared" si="3"/>
        <v>0</v>
      </c>
      <c r="I12" s="197">
        <f t="shared" si="1"/>
        <v>0</v>
      </c>
      <c r="J12" s="197">
        <f t="shared" si="2"/>
        <v>0</v>
      </c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95"/>
      <c r="D13" s="185">
        <f>C13/D3</f>
        <v>0</v>
      </c>
      <c r="E13" s="191">
        <f t="shared" si="4"/>
        <v>0</v>
      </c>
      <c r="F13" s="192">
        <f>E13/D3</f>
        <v>0</v>
      </c>
      <c r="G13" s="188">
        <f>F13*G4</f>
        <v>0</v>
      </c>
      <c r="H13" s="189">
        <f t="shared" si="3"/>
        <v>0</v>
      </c>
      <c r="I13" s="197">
        <f t="shared" si="1"/>
        <v>0</v>
      </c>
      <c r="J13" s="197">
        <f t="shared" si="2"/>
        <v>0</v>
      </c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713</v>
      </c>
      <c r="C14" s="195">
        <f>C77</f>
        <v>1020375.6540427811</v>
      </c>
      <c r="D14" s="196">
        <f>C14/D3</f>
        <v>2.0792210560648745</v>
      </c>
      <c r="E14" s="191">
        <f>C14*(D29)</f>
        <v>330791.09467878088</v>
      </c>
      <c r="F14" s="192">
        <f>E14/D3</f>
        <v>0.67405352772757743</v>
      </c>
      <c r="G14" s="188">
        <f>F14*G4</f>
        <v>112940.36478486651</v>
      </c>
      <c r="H14" s="189">
        <f t="shared" si="3"/>
        <v>907435.28925791453</v>
      </c>
      <c r="I14" s="197">
        <f t="shared" si="1"/>
        <v>0.67405352772757743</v>
      </c>
      <c r="J14" s="197">
        <f t="shared" si="2"/>
        <v>2.8077021279967651</v>
      </c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714</v>
      </c>
      <c r="C15" s="184">
        <v>202787.54767080746</v>
      </c>
      <c r="D15" s="185">
        <f>C15/D3</f>
        <v>0.41322050105208052</v>
      </c>
      <c r="E15" s="186"/>
      <c r="F15" s="187"/>
      <c r="G15" s="188">
        <f>G4*D15</f>
        <v>69236.7478332803</v>
      </c>
      <c r="H15" s="189">
        <f t="shared" si="3"/>
        <v>133550.79983752716</v>
      </c>
      <c r="I15" s="197">
        <f t="shared" si="1"/>
        <v>0.41322050105208052</v>
      </c>
      <c r="J15" s="197">
        <f t="shared" si="2"/>
        <v>0.41322050105208052</v>
      </c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82823</v>
      </c>
      <c r="D16" s="185">
        <f>C16/D3</f>
        <v>0.16876855581977751</v>
      </c>
      <c r="E16" s="186"/>
      <c r="F16" s="187"/>
      <c r="G16" s="188"/>
      <c r="H16" s="189">
        <f t="shared" ref="H16:H17" si="5">C16</f>
        <v>82823</v>
      </c>
      <c r="I16" s="197">
        <f t="shared" si="1"/>
        <v>0</v>
      </c>
      <c r="J16" s="197">
        <f t="shared" si="2"/>
        <v>0.25626324664676126</v>
      </c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715</v>
      </c>
      <c r="C17" s="184">
        <f>C72</f>
        <v>349551.41000000003</v>
      </c>
      <c r="D17" s="185">
        <f>C17/D3</f>
        <v>0.71228145141406307</v>
      </c>
      <c r="E17" s="186"/>
      <c r="F17" s="187"/>
      <c r="G17" s="188">
        <v>0</v>
      </c>
      <c r="H17" s="189">
        <f t="shared" si="5"/>
        <v>349551.41000000003</v>
      </c>
      <c r="I17" s="197">
        <f t="shared" si="1"/>
        <v>0</v>
      </c>
      <c r="J17" s="197">
        <f t="shared" si="2"/>
        <v>1.0815495598632405</v>
      </c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716</v>
      </c>
      <c r="C18" s="318">
        <f>C84</f>
        <v>143294.16999999998</v>
      </c>
      <c r="D18" s="319">
        <f>C18/D3</f>
        <v>0.29199075291034721</v>
      </c>
      <c r="E18" s="202"/>
      <c r="F18" s="203"/>
      <c r="G18" s="204">
        <f>D18*G4</f>
        <v>48924.218613140314</v>
      </c>
      <c r="H18" s="205">
        <f>C18-G18</f>
        <v>94369.95138685967</v>
      </c>
      <c r="I18" s="197">
        <f t="shared" si="1"/>
        <v>0.29199075291034721</v>
      </c>
      <c r="J18" s="197">
        <f t="shared" si="2"/>
        <v>0.29199075291034721</v>
      </c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4316444.7817135891</v>
      </c>
      <c r="D19" s="268"/>
      <c r="E19" s="269"/>
      <c r="F19" s="270"/>
      <c r="G19" s="271">
        <f t="shared" ref="G19:H19" si="6">SUM(G6:G18)</f>
        <v>900975.30445010192</v>
      </c>
      <c r="H19" s="272">
        <f t="shared" si="6"/>
        <v>3415469.4772634869</v>
      </c>
      <c r="I19" s="214"/>
      <c r="J19" s="250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7">C20-G20</f>
        <v>0</v>
      </c>
      <c r="I20" s="197">
        <f t="shared" ref="I20:I21" si="8">G20/$G$4</f>
        <v>0</v>
      </c>
      <c r="J20" s="197">
        <f t="shared" ref="J20:J21" si="9">H20/$H$4</f>
        <v>0</v>
      </c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7"/>
        <v>323195</v>
      </c>
      <c r="I21" s="197">
        <f t="shared" si="8"/>
        <v>1</v>
      </c>
      <c r="J21" s="197">
        <f t="shared" si="9"/>
        <v>1</v>
      </c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4807193.7817135891</v>
      </c>
      <c r="D22" s="282"/>
      <c r="E22" s="283"/>
      <c r="F22" s="284"/>
      <c r="G22" s="285">
        <f t="shared" ref="G22:H22" si="10">G19+G20+G21</f>
        <v>1068529.3044501019</v>
      </c>
      <c r="H22" s="286">
        <f t="shared" si="10"/>
        <v>3738664.4772634869</v>
      </c>
      <c r="I22" s="68"/>
      <c r="J22" s="250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9.7956262401219139</v>
      </c>
      <c r="D23" s="290"/>
      <c r="E23" s="291"/>
      <c r="F23" s="292"/>
      <c r="G23" s="295">
        <f>(G19+G20+G21)/G4</f>
        <v>6.3772234888459955</v>
      </c>
      <c r="H23" s="294">
        <f>(H20+H21+H19)/H4</f>
        <v>11.5678289492829</v>
      </c>
      <c r="I23" s="343">
        <f t="shared" ref="I23:J23" si="11">SUM(I6:I22)</f>
        <v>6.3772234888459955</v>
      </c>
      <c r="J23" s="343">
        <f t="shared" si="11"/>
        <v>11.567828949282898</v>
      </c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214"/>
      <c r="D24" s="247"/>
      <c r="E24" s="68"/>
      <c r="F24" s="68"/>
      <c r="G24" s="214"/>
      <c r="H24" s="214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68"/>
      <c r="H25" s="68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4.2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30</v>
      </c>
      <c r="C32" s="261" t="s">
        <v>307</v>
      </c>
      <c r="D32" s="261" t="s">
        <v>308</v>
      </c>
      <c r="E32" s="261" t="s">
        <v>309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460</v>
      </c>
      <c r="D33" s="192">
        <v>180.05</v>
      </c>
      <c r="E33" s="310">
        <f>C33*D33</f>
        <v>82823</v>
      </c>
      <c r="F33" s="330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557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39706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10000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531</v>
      </c>
      <c r="C39" s="310">
        <v>80000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7</v>
      </c>
      <c r="B40" s="187" t="s">
        <v>583</v>
      </c>
      <c r="C40" s="310">
        <v>20304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8</v>
      </c>
      <c r="B41" s="361" t="s">
        <v>559</v>
      </c>
      <c r="C41" s="310">
        <v>1800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54">
        <v>9</v>
      </c>
      <c r="B42" s="187" t="s">
        <v>410</v>
      </c>
      <c r="C42" s="310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61"/>
      <c r="B43" s="311" t="s">
        <v>35</v>
      </c>
      <c r="C43" s="312">
        <f>SUM(C36:C42)</f>
        <v>157810</v>
      </c>
      <c r="D43" s="68"/>
      <c r="E43" s="214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335"/>
      <c r="B44" s="336"/>
      <c r="C44" s="337"/>
      <c r="D44" s="68"/>
      <c r="E44" s="214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3.5" customHeight="1" x14ac:dyDescent="0.25">
      <c r="A45" s="261" t="s">
        <v>298</v>
      </c>
      <c r="B45" s="261" t="s">
        <v>560</v>
      </c>
      <c r="C45" s="261" t="s">
        <v>309</v>
      </c>
      <c r="D45" s="68"/>
      <c r="E45" s="214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3.5" customHeight="1" x14ac:dyDescent="0.25">
      <c r="A46" s="254">
        <v>5</v>
      </c>
      <c r="B46" s="187" t="s">
        <v>532</v>
      </c>
      <c r="C46" s="310">
        <v>34195</v>
      </c>
      <c r="D46" s="68"/>
      <c r="E46" s="214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3.5" customHeight="1" x14ac:dyDescent="0.25">
      <c r="A47" s="254">
        <v>6</v>
      </c>
      <c r="B47" s="187" t="s">
        <v>533</v>
      </c>
      <c r="C47" s="310">
        <v>5000</v>
      </c>
      <c r="D47" s="68"/>
      <c r="E47" s="214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3.5" customHeight="1" x14ac:dyDescent="0.25">
      <c r="A48" s="261"/>
      <c r="B48" s="311" t="s">
        <v>35</v>
      </c>
      <c r="C48" s="312">
        <f>SUM(C46:C47)</f>
        <v>39195</v>
      </c>
      <c r="D48" s="68"/>
      <c r="E48" s="214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3.5" customHeight="1" x14ac:dyDescent="0.25">
      <c r="A49" s="335"/>
      <c r="B49" s="336"/>
      <c r="C49" s="337"/>
      <c r="D49" s="68"/>
      <c r="E49" s="214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3.5" customHeight="1" x14ac:dyDescent="0.25">
      <c r="A50" s="335"/>
      <c r="B50" s="336"/>
      <c r="C50" s="337"/>
      <c r="D50" s="68"/>
      <c r="E50" s="214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2.75" customHeight="1" x14ac:dyDescent="0.25">
      <c r="A51" s="261" t="s">
        <v>298</v>
      </c>
      <c r="B51" s="261" t="s">
        <v>472</v>
      </c>
      <c r="C51" s="261" t="s">
        <v>309</v>
      </c>
      <c r="D51" s="68"/>
      <c r="E51" s="214"/>
      <c r="F51" s="68"/>
      <c r="G51" s="214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2.75" customHeight="1" x14ac:dyDescent="0.25">
      <c r="A52" s="254"/>
      <c r="B52" s="187"/>
      <c r="C52" s="310"/>
      <c r="D52" s="68"/>
      <c r="E52" s="214"/>
      <c r="F52" s="68"/>
      <c r="G52" s="214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2.75" customHeight="1" x14ac:dyDescent="0.25">
      <c r="A53" s="254"/>
      <c r="B53" s="187"/>
      <c r="C53" s="310"/>
      <c r="D53" s="68"/>
      <c r="E53" s="214"/>
      <c r="F53" s="68"/>
      <c r="G53" s="214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2.75" customHeight="1" x14ac:dyDescent="0.25">
      <c r="A54" s="254">
        <v>3</v>
      </c>
      <c r="B54" s="187"/>
      <c r="C54" s="310"/>
      <c r="D54" s="68"/>
      <c r="E54" s="214"/>
      <c r="F54" s="68"/>
      <c r="G54" s="214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3.5" customHeight="1" x14ac:dyDescent="0.25">
      <c r="A55" s="261"/>
      <c r="B55" s="311" t="s">
        <v>35</v>
      </c>
      <c r="C55" s="312">
        <f>SUM(C52:C54)</f>
        <v>0</v>
      </c>
      <c r="D55" s="68"/>
      <c r="E55" s="214"/>
      <c r="F55" s="68"/>
      <c r="G55" s="214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3.5" customHeight="1" x14ac:dyDescent="0.25">
      <c r="A56" s="249"/>
      <c r="B56" s="68"/>
      <c r="C56" s="68"/>
      <c r="D56" s="68"/>
      <c r="E56" s="214"/>
      <c r="F56" s="68"/>
      <c r="G56" s="214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3.5" customHeight="1" x14ac:dyDescent="0.25">
      <c r="A57" s="261" t="s">
        <v>298</v>
      </c>
      <c r="B57" s="261" t="s">
        <v>122</v>
      </c>
      <c r="C57" s="261" t="s">
        <v>309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3.5" customHeight="1" x14ac:dyDescent="0.25">
      <c r="A58" s="254">
        <v>1</v>
      </c>
      <c r="B58" s="187" t="s">
        <v>717</v>
      </c>
      <c r="C58" s="310">
        <v>117564</v>
      </c>
      <c r="D58" s="68"/>
      <c r="E58" s="68"/>
      <c r="F58" s="214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3.5" customHeight="1" x14ac:dyDescent="0.25">
      <c r="A59" s="254">
        <v>2</v>
      </c>
      <c r="B59" s="187" t="s">
        <v>718</v>
      </c>
      <c r="C59" s="310">
        <v>5768</v>
      </c>
      <c r="D59" s="68"/>
      <c r="E59" s="330"/>
      <c r="F59" s="68"/>
      <c r="G59" s="329"/>
      <c r="H59" s="32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3</v>
      </c>
      <c r="B60" s="187" t="s">
        <v>719</v>
      </c>
      <c r="C60" s="310">
        <v>39278</v>
      </c>
      <c r="D60" s="68"/>
      <c r="E60" s="330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54">
        <v>4</v>
      </c>
      <c r="B61" s="187" t="s">
        <v>685</v>
      </c>
      <c r="C61" s="362">
        <v>8045</v>
      </c>
      <c r="D61" s="68"/>
      <c r="E61" s="339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54">
        <v>5</v>
      </c>
      <c r="B62" s="187" t="s">
        <v>664</v>
      </c>
      <c r="C62" s="362">
        <v>50500</v>
      </c>
      <c r="D62" s="68"/>
      <c r="E62" s="330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54">
        <v>6</v>
      </c>
      <c r="B63" s="187" t="s">
        <v>564</v>
      </c>
      <c r="C63" s="310">
        <v>8453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54">
        <v>7</v>
      </c>
      <c r="B64" s="187" t="s">
        <v>720</v>
      </c>
      <c r="C64" s="310">
        <v>11781.41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254">
        <v>8</v>
      </c>
      <c r="B65" s="187" t="s">
        <v>721</v>
      </c>
      <c r="C65" s="310">
        <v>15000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162"/>
      <c r="U65" s="162"/>
      <c r="V65" s="162"/>
      <c r="W65" s="162"/>
      <c r="X65" s="162"/>
      <c r="Y65" s="162"/>
      <c r="Z65" s="162"/>
    </row>
    <row r="66" spans="1:26" ht="13.5" customHeight="1" x14ac:dyDescent="0.25">
      <c r="A66" s="323">
        <v>9</v>
      </c>
      <c r="B66" s="324" t="s">
        <v>722</v>
      </c>
      <c r="C66" s="325">
        <v>51500</v>
      </c>
      <c r="D66" s="352"/>
      <c r="E66" s="352"/>
      <c r="F66" s="352"/>
      <c r="G66" s="352"/>
      <c r="H66" s="352"/>
      <c r="I66" s="68"/>
      <c r="J66" s="68"/>
      <c r="K66" s="352"/>
      <c r="L66" s="352"/>
      <c r="M66" s="352"/>
      <c r="N66" s="352"/>
      <c r="O66" s="352"/>
      <c r="P66" s="352"/>
      <c r="Q66" s="352"/>
      <c r="R66" s="352"/>
      <c r="S66" s="352"/>
      <c r="T66" s="355"/>
      <c r="U66" s="355"/>
      <c r="V66" s="355"/>
      <c r="W66" s="355"/>
      <c r="X66" s="355"/>
      <c r="Y66" s="355"/>
      <c r="Z66" s="355"/>
    </row>
    <row r="67" spans="1:26" ht="13.5" customHeight="1" x14ac:dyDescent="0.25">
      <c r="A67" s="254">
        <v>10</v>
      </c>
      <c r="B67" s="187" t="s">
        <v>723</v>
      </c>
      <c r="C67" s="310">
        <v>41662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54"/>
      <c r="B68" s="187"/>
      <c r="C68" s="310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54"/>
      <c r="B69" s="187"/>
      <c r="C69" s="310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54"/>
      <c r="B70" s="187"/>
      <c r="C70" s="310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54"/>
      <c r="B71" s="187"/>
      <c r="C71" s="310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61"/>
      <c r="B72" s="311" t="s">
        <v>35</v>
      </c>
      <c r="C72" s="312">
        <f>SUM(C58:C71)</f>
        <v>349551.41000000003</v>
      </c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49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61" t="s">
        <v>298</v>
      </c>
      <c r="B74" s="313" t="s">
        <v>349</v>
      </c>
      <c r="C74" s="261" t="s">
        <v>309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54">
        <v>1</v>
      </c>
      <c r="B75" s="187" t="s">
        <v>724</v>
      </c>
      <c r="C75" s="195">
        <v>38226.963091587219</v>
      </c>
      <c r="D75" s="68"/>
      <c r="E75" s="68"/>
      <c r="F75" s="250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54">
        <v>2</v>
      </c>
      <c r="B76" s="187" t="s">
        <v>725</v>
      </c>
      <c r="C76" s="363">
        <v>982148.69095119392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61"/>
      <c r="B77" s="311" t="s">
        <v>35</v>
      </c>
      <c r="C77" s="312">
        <f>SUM(C75:C76)</f>
        <v>1020375.6540427811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49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61" t="s">
        <v>298</v>
      </c>
      <c r="B79" s="328" t="s">
        <v>274</v>
      </c>
      <c r="C79" s="261" t="s">
        <v>309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3">
      <c r="A80" s="254">
        <v>1</v>
      </c>
      <c r="B80" s="187" t="s">
        <v>517</v>
      </c>
      <c r="C80" s="322">
        <v>1100000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3">
      <c r="A81" s="254">
        <v>2</v>
      </c>
      <c r="B81" s="187" t="s">
        <v>631</v>
      </c>
      <c r="C81" s="322">
        <f>88294.17*12</f>
        <v>1059530.04</v>
      </c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61"/>
      <c r="B82" s="311" t="s">
        <v>726</v>
      </c>
      <c r="C82" s="312">
        <v>55000</v>
      </c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54"/>
      <c r="B83" s="311" t="s">
        <v>727</v>
      </c>
      <c r="C83" s="347">
        <v>88294.17</v>
      </c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54"/>
      <c r="B84" s="187"/>
      <c r="C84" s="327">
        <f>SUM(C82:C83)</f>
        <v>143294.16999999998</v>
      </c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3.5" customHeight="1" x14ac:dyDescent="0.25">
      <c r="A278" s="249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62"/>
      <c r="U278" s="162"/>
      <c r="V278" s="162"/>
      <c r="W278" s="162"/>
      <c r="X278" s="162"/>
      <c r="Y278" s="162"/>
      <c r="Z278" s="162"/>
    </row>
    <row r="279" spans="1:26" ht="13.5" customHeight="1" x14ac:dyDescent="0.25">
      <c r="A279" s="249"/>
      <c r="B279" s="68"/>
      <c r="C279" s="68"/>
      <c r="D279" s="68"/>
      <c r="E279" s="68"/>
      <c r="F279" s="68"/>
      <c r="G279" s="68"/>
      <c r="H279" s="68"/>
      <c r="K279" s="68"/>
      <c r="L279" s="68"/>
      <c r="M279" s="68"/>
      <c r="N279" s="68"/>
      <c r="O279" s="68"/>
      <c r="P279" s="68"/>
      <c r="Q279" s="68"/>
      <c r="R279" s="68"/>
      <c r="S279" s="68"/>
      <c r="T279" s="162"/>
      <c r="U279" s="162"/>
      <c r="V279" s="162"/>
      <c r="W279" s="162"/>
      <c r="X279" s="162"/>
      <c r="Y279" s="162"/>
      <c r="Z279" s="162"/>
    </row>
    <row r="280" spans="1:26" ht="13.5" customHeight="1" x14ac:dyDescent="0.25">
      <c r="A280" s="249"/>
      <c r="B280" s="68"/>
      <c r="C280" s="68"/>
      <c r="D280" s="68"/>
      <c r="E280" s="68"/>
      <c r="F280" s="68"/>
      <c r="G280" s="68"/>
      <c r="H280" s="68"/>
      <c r="K280" s="68"/>
      <c r="L280" s="68"/>
      <c r="M280" s="68"/>
      <c r="N280" s="68"/>
      <c r="O280" s="68"/>
      <c r="P280" s="68"/>
      <c r="Q280" s="68"/>
      <c r="R280" s="68"/>
      <c r="S280" s="68"/>
      <c r="T280" s="162"/>
      <c r="U280" s="162"/>
      <c r="V280" s="162"/>
      <c r="W280" s="162"/>
      <c r="X280" s="162"/>
      <c r="Y280" s="162"/>
      <c r="Z280" s="162"/>
    </row>
    <row r="281" spans="1:26" ht="13.5" customHeight="1" x14ac:dyDescent="0.25">
      <c r="A281" s="249"/>
      <c r="B281" s="68"/>
      <c r="C281" s="68"/>
      <c r="D281" s="68"/>
      <c r="E281" s="68"/>
      <c r="F281" s="68"/>
      <c r="G281" s="68"/>
      <c r="H281" s="68"/>
      <c r="K281" s="68"/>
      <c r="L281" s="68"/>
      <c r="M281" s="68"/>
      <c r="N281" s="68"/>
      <c r="O281" s="68"/>
      <c r="P281" s="68"/>
      <c r="Q281" s="68"/>
      <c r="R281" s="68"/>
      <c r="S281" s="68"/>
      <c r="T281" s="162"/>
      <c r="U281" s="162"/>
      <c r="V281" s="162"/>
      <c r="W281" s="162"/>
      <c r="X281" s="162"/>
      <c r="Y281" s="162"/>
      <c r="Z281" s="162"/>
    </row>
    <row r="282" spans="1:26" ht="13.5" customHeight="1" x14ac:dyDescent="0.25">
      <c r="A282" s="249"/>
      <c r="B282" s="68"/>
      <c r="C282" s="68"/>
      <c r="D282" s="68"/>
      <c r="E282" s="68"/>
      <c r="F282" s="68"/>
      <c r="G282" s="68"/>
      <c r="H282" s="68"/>
      <c r="K282" s="68"/>
      <c r="L282" s="68"/>
      <c r="M282" s="68"/>
      <c r="N282" s="68"/>
      <c r="O282" s="68"/>
      <c r="P282" s="68"/>
      <c r="Q282" s="68"/>
      <c r="R282" s="68"/>
      <c r="S282" s="68"/>
      <c r="T282" s="162"/>
      <c r="U282" s="162"/>
      <c r="V282" s="162"/>
      <c r="W282" s="162"/>
      <c r="X282" s="162"/>
      <c r="Y282" s="162"/>
      <c r="Z282" s="162"/>
    </row>
    <row r="283" spans="1:26" ht="13.5" customHeight="1" x14ac:dyDescent="0.25">
      <c r="A283" s="249"/>
      <c r="B283" s="68"/>
      <c r="C283" s="68"/>
      <c r="D283" s="68"/>
      <c r="E283" s="68"/>
      <c r="F283" s="68"/>
      <c r="G283" s="68"/>
      <c r="H283" s="68"/>
      <c r="K283" s="68"/>
      <c r="L283" s="68"/>
      <c r="M283" s="68"/>
      <c r="N283" s="68"/>
      <c r="O283" s="68"/>
      <c r="P283" s="68"/>
      <c r="Q283" s="68"/>
      <c r="R283" s="68"/>
      <c r="S283" s="68"/>
      <c r="T283" s="162"/>
      <c r="U283" s="162"/>
      <c r="V283" s="162"/>
      <c r="W283" s="162"/>
      <c r="X283" s="162"/>
      <c r="Y283" s="162"/>
      <c r="Z283" s="162"/>
    </row>
    <row r="284" spans="1:26" ht="13.5" customHeight="1" x14ac:dyDescent="0.25">
      <c r="A284" s="249"/>
      <c r="B284" s="68"/>
      <c r="C284" s="68"/>
      <c r="D284" s="68"/>
      <c r="E284" s="68"/>
      <c r="F284" s="68"/>
      <c r="G284" s="68"/>
      <c r="H284" s="68"/>
      <c r="K284" s="68"/>
      <c r="L284" s="68"/>
      <c r="M284" s="68"/>
      <c r="N284" s="68"/>
      <c r="O284" s="68"/>
      <c r="P284" s="68"/>
      <c r="Q284" s="68"/>
      <c r="R284" s="68"/>
      <c r="S284" s="68"/>
      <c r="T284" s="162"/>
      <c r="U284" s="162"/>
      <c r="V284" s="162"/>
      <c r="W284" s="162"/>
      <c r="X284" s="162"/>
      <c r="Y284" s="162"/>
      <c r="Z284" s="162"/>
    </row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9.28515625" customWidth="1"/>
    <col min="4" max="4" width="16" customWidth="1"/>
    <col min="5" max="5" width="16.28515625" customWidth="1"/>
    <col min="6" max="6" width="38" customWidth="1"/>
    <col min="7" max="7" width="17.42578125" customWidth="1"/>
    <col min="8" max="8" width="17.7109375" customWidth="1"/>
    <col min="9" max="9" width="22" customWidth="1"/>
    <col min="10" max="10" width="16.140625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728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7.7739433122413892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729</v>
      </c>
      <c r="C6" s="195">
        <f>292565+137500</f>
        <v>430065</v>
      </c>
      <c r="D6" s="185">
        <f>C6/D3</f>
        <v>0.87634411888765951</v>
      </c>
      <c r="E6" s="186"/>
      <c r="F6" s="187"/>
      <c r="G6" s="188">
        <f>D6*G4</f>
        <v>146834.9624961029</v>
      </c>
      <c r="H6" s="189">
        <f t="shared" ref="H6:H8" si="0">C6-G6</f>
        <v>283230.0375038971</v>
      </c>
      <c r="I6" s="197">
        <f t="shared" ref="I6:I18" si="1">G6/$G$4</f>
        <v>0.87634411888765951</v>
      </c>
      <c r="J6" s="197">
        <f t="shared" ref="J6:J18" si="2">H6/$H$4</f>
        <v>0.8763441188876594</v>
      </c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730</v>
      </c>
      <c r="C7" s="184">
        <v>481179</v>
      </c>
      <c r="D7" s="185">
        <f>C7/D3</f>
        <v>0.98049919612673686</v>
      </c>
      <c r="E7" s="191">
        <f>C7*(D29)</f>
        <v>155991.30331638394</v>
      </c>
      <c r="F7" s="192">
        <f>E7/D3</f>
        <v>0.31786372120245571</v>
      </c>
      <c r="G7" s="188">
        <f>F7*G4</f>
        <v>53259.337942356266</v>
      </c>
      <c r="H7" s="189">
        <f t="shared" si="0"/>
        <v>427919.66205764376</v>
      </c>
      <c r="I7" s="197">
        <f t="shared" si="1"/>
        <v>0.31786372120245571</v>
      </c>
      <c r="J7" s="197">
        <f t="shared" si="2"/>
        <v>1.3240293385035158</v>
      </c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731</v>
      </c>
      <c r="C8" s="184">
        <f>98715+304426+184255</f>
        <v>587396</v>
      </c>
      <c r="D8" s="185">
        <f>C8/D3</f>
        <v>1.1969377421044158</v>
      </c>
      <c r="E8" s="191">
        <f>C8*D28</f>
        <v>401707.06984068675</v>
      </c>
      <c r="F8" s="192">
        <f>E8/D3</f>
        <v>0.8185591205294086</v>
      </c>
      <c r="G8" s="193">
        <f>F8*G4</f>
        <v>137152.85488118452</v>
      </c>
      <c r="H8" s="189">
        <f t="shared" si="0"/>
        <v>450243.14511881548</v>
      </c>
      <c r="I8" s="197">
        <f t="shared" si="1"/>
        <v>0.8185591205294086</v>
      </c>
      <c r="J8" s="197">
        <f t="shared" si="2"/>
        <v>1.3931005897950632</v>
      </c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732</v>
      </c>
      <c r="C9" s="184">
        <v>782706</v>
      </c>
      <c r="D9" s="185">
        <f>C9/D3</f>
        <v>1.5949212326464242</v>
      </c>
      <c r="E9" s="186"/>
      <c r="F9" s="187"/>
      <c r="G9" s="188">
        <f>G4*D9</f>
        <v>267235.43221483898</v>
      </c>
      <c r="H9" s="189">
        <f>H4*D9</f>
        <v>515470.56778516108</v>
      </c>
      <c r="I9" s="197">
        <f t="shared" si="1"/>
        <v>1.5949212326464244</v>
      </c>
      <c r="J9" s="197">
        <f t="shared" si="2"/>
        <v>1.5949212326464242</v>
      </c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550</v>
      </c>
      <c r="C10" s="184">
        <f>C44</f>
        <v>164040</v>
      </c>
      <c r="D10" s="185">
        <f>C10/D3</f>
        <v>0.33426456294358214</v>
      </c>
      <c r="E10" s="186"/>
      <c r="F10" s="187"/>
      <c r="G10" s="188">
        <f>D10*G4</f>
        <v>56007.364579448964</v>
      </c>
      <c r="H10" s="189">
        <f t="shared" ref="H10:H15" si="3">C10-G10</f>
        <v>108032.63542055103</v>
      </c>
      <c r="I10" s="197">
        <f t="shared" si="1"/>
        <v>0.33426456294358214</v>
      </c>
      <c r="J10" s="197">
        <f t="shared" si="2"/>
        <v>0.33426456294358214</v>
      </c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551</v>
      </c>
      <c r="C11" s="184">
        <f>C52</f>
        <v>39195</v>
      </c>
      <c r="D11" s="185">
        <f>C11/D3</f>
        <v>7.9867712415104264E-2</v>
      </c>
      <c r="E11" s="186"/>
      <c r="F11" s="187"/>
      <c r="G11" s="188">
        <v>0</v>
      </c>
      <c r="H11" s="189">
        <f t="shared" si="3"/>
        <v>39195</v>
      </c>
      <c r="I11" s="197">
        <f t="shared" si="1"/>
        <v>0</v>
      </c>
      <c r="J11" s="197">
        <f t="shared" si="2"/>
        <v>0.12127353455344297</v>
      </c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733</v>
      </c>
      <c r="C12" s="184">
        <f>C62</f>
        <v>0</v>
      </c>
      <c r="D12" s="185">
        <f>C12/D3</f>
        <v>0</v>
      </c>
      <c r="E12" s="191">
        <f t="shared" ref="E12:E13" si="4">C12*D28</f>
        <v>0</v>
      </c>
      <c r="F12" s="192">
        <f>E12/D3</f>
        <v>0</v>
      </c>
      <c r="G12" s="188">
        <f>F12*G4</f>
        <v>0</v>
      </c>
      <c r="H12" s="189">
        <f t="shared" si="3"/>
        <v>0</v>
      </c>
      <c r="I12" s="197">
        <f t="shared" si="1"/>
        <v>0</v>
      </c>
      <c r="J12" s="197">
        <f t="shared" si="2"/>
        <v>0</v>
      </c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95"/>
      <c r="D13" s="185">
        <f>C13/D3</f>
        <v>0</v>
      </c>
      <c r="E13" s="191">
        <f t="shared" si="4"/>
        <v>0</v>
      </c>
      <c r="F13" s="192">
        <f>E13/D3</f>
        <v>0</v>
      </c>
      <c r="G13" s="188">
        <f>F13*G4</f>
        <v>0</v>
      </c>
      <c r="H13" s="189">
        <f t="shared" si="3"/>
        <v>0</v>
      </c>
      <c r="I13" s="197">
        <f t="shared" si="1"/>
        <v>0</v>
      </c>
      <c r="J13" s="197">
        <f t="shared" si="2"/>
        <v>0</v>
      </c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734</v>
      </c>
      <c r="C14" s="195">
        <f>C78</f>
        <v>1011739.4537015317</v>
      </c>
      <c r="D14" s="196">
        <f>C14/D3</f>
        <v>2.0616230572075169</v>
      </c>
      <c r="E14" s="191">
        <f>C14*(D29)</f>
        <v>327991.36288056674</v>
      </c>
      <c r="F14" s="192">
        <f>E14/D3</f>
        <v>0.66834850989113936</v>
      </c>
      <c r="G14" s="188">
        <f>F14*G4</f>
        <v>111984.46622629996</v>
      </c>
      <c r="H14" s="189">
        <f t="shared" si="3"/>
        <v>899754.98747523176</v>
      </c>
      <c r="I14" s="197">
        <f t="shared" si="1"/>
        <v>0.66834850989113936</v>
      </c>
      <c r="J14" s="197">
        <f t="shared" si="2"/>
        <v>2.7839384503944422</v>
      </c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735</v>
      </c>
      <c r="C15" s="184">
        <v>175440.28283761788</v>
      </c>
      <c r="D15" s="185">
        <f>C15/D3</f>
        <v>0.35749493699960239</v>
      </c>
      <c r="E15" s="186"/>
      <c r="F15" s="187"/>
      <c r="G15" s="188">
        <f>G4*D15</f>
        <v>59899.706674031375</v>
      </c>
      <c r="H15" s="189">
        <f t="shared" si="3"/>
        <v>115540.57616358651</v>
      </c>
      <c r="I15" s="197">
        <f t="shared" si="1"/>
        <v>0.35749493699960239</v>
      </c>
      <c r="J15" s="197">
        <f t="shared" si="2"/>
        <v>0.35749493699960244</v>
      </c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78861.900000000009</v>
      </c>
      <c r="D16" s="185"/>
      <c r="E16" s="186"/>
      <c r="F16" s="187"/>
      <c r="G16" s="188"/>
      <c r="H16" s="189">
        <f t="shared" ref="H16:H17" si="5">C16</f>
        <v>78861.900000000009</v>
      </c>
      <c r="I16" s="197">
        <f t="shared" si="1"/>
        <v>0</v>
      </c>
      <c r="J16" s="197">
        <f t="shared" si="2"/>
        <v>0.2440071783288727</v>
      </c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736</v>
      </c>
      <c r="C17" s="184">
        <f>C73</f>
        <v>437030</v>
      </c>
      <c r="D17" s="185"/>
      <c r="E17" s="186"/>
      <c r="F17" s="187"/>
      <c r="G17" s="188">
        <v>0</v>
      </c>
      <c r="H17" s="189">
        <f t="shared" si="5"/>
        <v>437030</v>
      </c>
      <c r="I17" s="197">
        <f t="shared" si="1"/>
        <v>0</v>
      </c>
      <c r="J17" s="197">
        <f t="shared" si="2"/>
        <v>1.352217701387707</v>
      </c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737</v>
      </c>
      <c r="C18" s="318">
        <f>C85</f>
        <v>143294.16999999998</v>
      </c>
      <c r="D18" s="319">
        <f>C18/D3</f>
        <v>0.29199075291034721</v>
      </c>
      <c r="E18" s="202"/>
      <c r="F18" s="203"/>
      <c r="G18" s="204">
        <f>D18*G4</f>
        <v>48924.218613140314</v>
      </c>
      <c r="H18" s="205">
        <f>C18-G18</f>
        <v>94369.95138685967</v>
      </c>
      <c r="I18" s="197">
        <f t="shared" si="1"/>
        <v>0.29199075291034721</v>
      </c>
      <c r="J18" s="197">
        <f t="shared" si="2"/>
        <v>0.29199075291034721</v>
      </c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4330946.806539149</v>
      </c>
      <c r="D19" s="268"/>
      <c r="E19" s="269"/>
      <c r="F19" s="270"/>
      <c r="G19" s="271">
        <f t="shared" ref="G19:H19" si="6">SUM(G6:G18)</f>
        <v>881298.34362740314</v>
      </c>
      <c r="H19" s="272">
        <f t="shared" si="6"/>
        <v>3449648.4629117465</v>
      </c>
      <c r="I19" s="214"/>
      <c r="J19" s="250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7">C20-G20</f>
        <v>0</v>
      </c>
      <c r="I20" s="197">
        <f t="shared" ref="I20:I21" si="8">G20/$G$4</f>
        <v>0</v>
      </c>
      <c r="J20" s="197">
        <f t="shared" ref="J20:J21" si="9">H20/$H$4</f>
        <v>0</v>
      </c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7"/>
        <v>323195</v>
      </c>
      <c r="I21" s="197">
        <f t="shared" si="8"/>
        <v>1</v>
      </c>
      <c r="J21" s="197">
        <f t="shared" si="9"/>
        <v>1</v>
      </c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4821695.806539149</v>
      </c>
      <c r="D22" s="282"/>
      <c r="E22" s="283"/>
      <c r="F22" s="284"/>
      <c r="G22" s="285">
        <f t="shared" ref="G22:H22" si="10">G19+G20+G21</f>
        <v>1048852.343627403</v>
      </c>
      <c r="H22" s="286">
        <f t="shared" si="10"/>
        <v>3772843.4629117465</v>
      </c>
      <c r="I22" s="68"/>
      <c r="J22" s="250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9.825177038647352</v>
      </c>
      <c r="D23" s="290"/>
      <c r="E23" s="291"/>
      <c r="F23" s="292"/>
      <c r="G23" s="295">
        <f>(G19+G20+G21)/G4</f>
        <v>6.2597869560106174</v>
      </c>
      <c r="H23" s="294">
        <f>(H20+H21+H19)/H4</f>
        <v>11.673582397350661</v>
      </c>
      <c r="I23" s="343">
        <f t="shared" ref="I23:J23" si="11">SUM(I6:I22)</f>
        <v>6.2597869560106201</v>
      </c>
      <c r="J23" s="343">
        <f t="shared" si="11"/>
        <v>11.673582397350661</v>
      </c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214"/>
      <c r="D24" s="247"/>
      <c r="E24" s="68"/>
      <c r="F24" s="68"/>
      <c r="G24" s="214"/>
      <c r="H24" s="214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68"/>
      <c r="H25" s="68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4.2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3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3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31</v>
      </c>
      <c r="C32" s="261" t="s">
        <v>307</v>
      </c>
      <c r="D32" s="261" t="s">
        <v>308</v>
      </c>
      <c r="E32" s="261" t="s">
        <v>309</v>
      </c>
      <c r="F32" s="68"/>
      <c r="G32" s="3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438</v>
      </c>
      <c r="D33" s="192">
        <v>180.05</v>
      </c>
      <c r="E33" s="310">
        <f>C33*D33</f>
        <v>78861.900000000009</v>
      </c>
      <c r="F33" s="330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557</v>
      </c>
      <c r="C35" s="261" t="s">
        <v>309</v>
      </c>
      <c r="D35" s="68"/>
      <c r="E35" s="68"/>
      <c r="F35" s="68"/>
      <c r="G35" s="68"/>
      <c r="H35" s="68">
        <v>601611</v>
      </c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10000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>
        <f>H35/167554</f>
        <v>3.5905499122670901</v>
      </c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323">
        <v>4</v>
      </c>
      <c r="B39" s="324" t="s">
        <v>531</v>
      </c>
      <c r="C39" s="325">
        <v>80000</v>
      </c>
      <c r="D39" s="352"/>
      <c r="E39" s="352"/>
      <c r="F39" s="352"/>
      <c r="G39" s="352"/>
      <c r="H39" s="352"/>
      <c r="I39" s="68"/>
      <c r="J39" s="68"/>
      <c r="K39" s="352"/>
      <c r="L39" s="352"/>
      <c r="M39" s="352"/>
      <c r="N39" s="352"/>
      <c r="O39" s="352"/>
      <c r="P39" s="352"/>
      <c r="Q39" s="352"/>
      <c r="R39" s="352"/>
      <c r="S39" s="352"/>
      <c r="T39" s="355"/>
      <c r="U39" s="355"/>
      <c r="V39" s="355"/>
      <c r="W39" s="355"/>
      <c r="X39" s="355"/>
      <c r="Y39" s="355"/>
      <c r="Z39" s="355"/>
    </row>
    <row r="40" spans="1:26" ht="13.5" customHeight="1" x14ac:dyDescent="0.25">
      <c r="A40" s="254">
        <v>7</v>
      </c>
      <c r="B40" s="187" t="s">
        <v>583</v>
      </c>
      <c r="C40" s="310">
        <v>21240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8</v>
      </c>
      <c r="B41" s="361" t="s">
        <v>559</v>
      </c>
      <c r="C41" s="310">
        <v>1800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254">
        <v>9</v>
      </c>
      <c r="B42" s="187" t="s">
        <v>410</v>
      </c>
      <c r="C42" s="310">
        <v>0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162"/>
      <c r="U42" s="162"/>
      <c r="V42" s="162"/>
      <c r="W42" s="162"/>
      <c r="X42" s="162"/>
      <c r="Y42" s="162"/>
      <c r="Z42" s="162"/>
    </row>
    <row r="43" spans="1:26" ht="13.5" customHeight="1" x14ac:dyDescent="0.25">
      <c r="A43" s="254"/>
      <c r="B43" s="187"/>
      <c r="C43" s="310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61"/>
      <c r="B44" s="311" t="s">
        <v>35</v>
      </c>
      <c r="C44" s="312">
        <f>SUM(C36:C43)</f>
        <v>164040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2" customHeight="1" x14ac:dyDescent="0.25">
      <c r="A45" s="249"/>
      <c r="B45" s="68"/>
      <c r="C45" s="68"/>
      <c r="D45" s="214"/>
      <c r="E45" s="214"/>
      <c r="F45" s="68"/>
      <c r="G45" s="21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2" customHeight="1" x14ac:dyDescent="0.25">
      <c r="A46" s="261" t="s">
        <v>298</v>
      </c>
      <c r="B46" s="261" t="s">
        <v>560</v>
      </c>
      <c r="C46" s="261" t="s">
        <v>309</v>
      </c>
      <c r="D46" s="214"/>
      <c r="E46" s="214"/>
      <c r="F46" s="68"/>
      <c r="G46" s="21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2" customHeight="1" x14ac:dyDescent="0.25">
      <c r="A47" s="254">
        <v>5</v>
      </c>
      <c r="B47" s="187" t="s">
        <v>532</v>
      </c>
      <c r="C47" s="310">
        <v>34195</v>
      </c>
      <c r="D47" s="214"/>
      <c r="E47" s="214"/>
      <c r="F47" s="68"/>
      <c r="G47" s="214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2" customHeight="1" x14ac:dyDescent="0.25">
      <c r="A48" s="254">
        <v>6</v>
      </c>
      <c r="B48" s="187" t="s">
        <v>533</v>
      </c>
      <c r="C48" s="310">
        <v>5000</v>
      </c>
      <c r="D48" s="214"/>
      <c r="E48" s="214"/>
      <c r="F48" s="68"/>
      <c r="G48" s="214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2" customHeight="1" x14ac:dyDescent="0.25">
      <c r="A49" s="254"/>
      <c r="B49" s="187"/>
      <c r="C49" s="310"/>
      <c r="D49" s="214"/>
      <c r="E49" s="214"/>
      <c r="F49" s="68"/>
      <c r="G49" s="214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2" customHeight="1" x14ac:dyDescent="0.25">
      <c r="A50" s="254"/>
      <c r="B50" s="361"/>
      <c r="C50" s="310"/>
      <c r="D50" s="214"/>
      <c r="E50" s="214"/>
      <c r="F50" s="68"/>
      <c r="G50" s="214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2" customHeight="1" x14ac:dyDescent="0.25">
      <c r="A51" s="254"/>
      <c r="B51" s="187"/>
      <c r="C51" s="310"/>
      <c r="D51" s="214"/>
      <c r="E51" s="214"/>
      <c r="F51" s="68"/>
      <c r="G51" s="214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2" customHeight="1" x14ac:dyDescent="0.25">
      <c r="A52" s="261"/>
      <c r="B52" s="311" t="s">
        <v>35</v>
      </c>
      <c r="C52" s="312">
        <f>SUM(C47:C51)</f>
        <v>39195</v>
      </c>
      <c r="D52" s="214"/>
      <c r="E52" s="214"/>
      <c r="F52" s="68"/>
      <c r="G52" s="214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2" customHeight="1" x14ac:dyDescent="0.25">
      <c r="A53" s="249"/>
      <c r="B53" s="68"/>
      <c r="C53" s="68"/>
      <c r="D53" s="214"/>
      <c r="E53" s="214"/>
      <c r="F53" s="68"/>
      <c r="G53" s="214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2" customHeight="1" x14ac:dyDescent="0.25">
      <c r="A54" s="249"/>
      <c r="B54" s="68"/>
      <c r="C54" s="68"/>
      <c r="D54" s="214"/>
      <c r="E54" s="214"/>
      <c r="F54" s="68"/>
      <c r="G54" s="214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2.75" customHeight="1" x14ac:dyDescent="0.25">
      <c r="A55" s="261" t="s">
        <v>298</v>
      </c>
      <c r="B55" s="261" t="s">
        <v>472</v>
      </c>
      <c r="C55" s="261" t="s">
        <v>309</v>
      </c>
      <c r="D55" s="214"/>
      <c r="E55" s="214"/>
      <c r="F55" s="68"/>
      <c r="G55" s="214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2.75" customHeight="1" x14ac:dyDescent="0.25">
      <c r="A56" s="254">
        <v>1</v>
      </c>
      <c r="B56" s="187"/>
      <c r="C56" s="310"/>
      <c r="D56" s="214"/>
      <c r="E56" s="214"/>
      <c r="F56" s="68"/>
      <c r="G56" s="214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2.75" customHeight="1" x14ac:dyDescent="0.25">
      <c r="A57" s="254">
        <v>2</v>
      </c>
      <c r="B57" s="187"/>
      <c r="C57" s="310"/>
      <c r="D57" s="214"/>
      <c r="E57" s="214"/>
      <c r="F57" s="68"/>
      <c r="G57" s="214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2.75" customHeight="1" x14ac:dyDescent="0.25">
      <c r="A58" s="254">
        <v>3</v>
      </c>
      <c r="B58" s="187"/>
      <c r="C58" s="310"/>
      <c r="D58" s="214"/>
      <c r="E58" s="214"/>
      <c r="F58" s="68"/>
      <c r="G58" s="214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2.75" customHeight="1" x14ac:dyDescent="0.25">
      <c r="A59" s="254">
        <v>4</v>
      </c>
      <c r="B59" s="187"/>
      <c r="C59" s="310"/>
      <c r="D59" s="214"/>
      <c r="E59" s="214"/>
      <c r="F59" s="68"/>
      <c r="G59" s="214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5</v>
      </c>
      <c r="B60" s="187"/>
      <c r="C60" s="310"/>
      <c r="D60" s="214"/>
      <c r="E60" s="214"/>
      <c r="F60" s="68"/>
      <c r="G60" s="214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54">
        <v>6</v>
      </c>
      <c r="B61" s="187"/>
      <c r="C61" s="310"/>
      <c r="D61" s="214"/>
      <c r="E61" s="214"/>
      <c r="F61" s="68"/>
      <c r="G61" s="214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61"/>
      <c r="B62" s="311" t="s">
        <v>35</v>
      </c>
      <c r="C62" s="312">
        <f>SUM(C56:C61)</f>
        <v>0</v>
      </c>
      <c r="D62" s="214"/>
      <c r="E62" s="214"/>
      <c r="F62" s="68"/>
      <c r="G62" s="214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49"/>
      <c r="B63" s="68"/>
      <c r="C63" s="68"/>
      <c r="D63" s="214"/>
      <c r="E63" s="214"/>
      <c r="F63" s="68"/>
      <c r="G63" s="214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61" t="s">
        <v>298</v>
      </c>
      <c r="B64" s="261" t="s">
        <v>122</v>
      </c>
      <c r="C64" s="261" t="s">
        <v>309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323">
        <v>1</v>
      </c>
      <c r="B65" s="324" t="s">
        <v>738</v>
      </c>
      <c r="C65" s="325">
        <v>35000</v>
      </c>
      <c r="D65" s="352"/>
      <c r="E65" s="352"/>
      <c r="F65" s="365"/>
      <c r="G65" s="352"/>
      <c r="H65" s="352"/>
      <c r="I65" s="68"/>
      <c r="J65" s="68"/>
      <c r="K65" s="352"/>
      <c r="L65" s="352"/>
      <c r="M65" s="352"/>
      <c r="N65" s="352"/>
      <c r="O65" s="352"/>
      <c r="P65" s="352"/>
      <c r="Q65" s="352"/>
      <c r="R65" s="352"/>
      <c r="S65" s="352"/>
      <c r="T65" s="355"/>
      <c r="U65" s="355"/>
      <c r="V65" s="355"/>
      <c r="W65" s="355"/>
      <c r="X65" s="355"/>
      <c r="Y65" s="355"/>
      <c r="Z65" s="355"/>
    </row>
    <row r="66" spans="1:26" ht="13.5" customHeight="1" x14ac:dyDescent="0.25">
      <c r="A66" s="323">
        <v>2</v>
      </c>
      <c r="B66" s="324" t="s">
        <v>739</v>
      </c>
      <c r="C66" s="325">
        <v>41000</v>
      </c>
      <c r="D66" s="366"/>
      <c r="E66" s="366"/>
      <c r="F66" s="352"/>
      <c r="G66" s="367"/>
      <c r="H66" s="367"/>
      <c r="I66" s="68"/>
      <c r="J66" s="68"/>
      <c r="K66" s="352"/>
      <c r="L66" s="352"/>
      <c r="M66" s="352"/>
      <c r="N66" s="352"/>
      <c r="O66" s="352"/>
      <c r="P66" s="352"/>
      <c r="Q66" s="352"/>
      <c r="R66" s="352"/>
      <c r="S66" s="352"/>
      <c r="T66" s="355"/>
      <c r="U66" s="355"/>
      <c r="V66" s="355"/>
      <c r="W66" s="355"/>
      <c r="X66" s="355"/>
      <c r="Y66" s="355"/>
      <c r="Z66" s="355"/>
    </row>
    <row r="67" spans="1:26" ht="13.5" customHeight="1" x14ac:dyDescent="0.25">
      <c r="A67" s="254">
        <v>3</v>
      </c>
      <c r="B67" s="187" t="s">
        <v>719</v>
      </c>
      <c r="C67" s="310">
        <v>215826</v>
      </c>
      <c r="D67" s="330"/>
      <c r="E67" s="330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54">
        <v>4</v>
      </c>
      <c r="B68" s="187" t="s">
        <v>740</v>
      </c>
      <c r="C68" s="362">
        <v>30000</v>
      </c>
      <c r="D68" s="339"/>
      <c r="E68" s="339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323">
        <v>5</v>
      </c>
      <c r="B69" s="324" t="s">
        <v>741</v>
      </c>
      <c r="C69" s="368">
        <v>12551</v>
      </c>
      <c r="D69" s="369"/>
      <c r="E69" s="369"/>
      <c r="F69" s="352"/>
      <c r="G69" s="352"/>
      <c r="H69" s="352"/>
      <c r="I69" s="68"/>
      <c r="J69" s="68"/>
      <c r="K69" s="352"/>
      <c r="L69" s="352"/>
      <c r="M69" s="352"/>
      <c r="N69" s="352"/>
      <c r="O69" s="352"/>
      <c r="P69" s="352"/>
      <c r="Q69" s="352"/>
      <c r="R69" s="352"/>
      <c r="S69" s="352"/>
      <c r="T69" s="355"/>
      <c r="U69" s="355"/>
      <c r="V69" s="355"/>
      <c r="W69" s="355"/>
      <c r="X69" s="355"/>
      <c r="Y69" s="355"/>
      <c r="Z69" s="355"/>
    </row>
    <row r="70" spans="1:26" ht="13.5" customHeight="1" x14ac:dyDescent="0.25">
      <c r="A70" s="254">
        <v>6</v>
      </c>
      <c r="B70" s="187" t="s">
        <v>742</v>
      </c>
      <c r="C70" s="362">
        <v>3825</v>
      </c>
      <c r="D70" s="339"/>
      <c r="E70" s="339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54">
        <v>7</v>
      </c>
      <c r="B71" s="187" t="s">
        <v>743</v>
      </c>
      <c r="C71" s="362">
        <v>98828</v>
      </c>
      <c r="D71" s="330"/>
      <c r="E71" s="330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54"/>
      <c r="B72" s="187"/>
      <c r="C72" s="310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61"/>
      <c r="B73" s="311" t="s">
        <v>35</v>
      </c>
      <c r="C73" s="312">
        <f>SUM(C65:C72)</f>
        <v>437030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49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61" t="s">
        <v>298</v>
      </c>
      <c r="B75" s="313" t="s">
        <v>349</v>
      </c>
      <c r="C75" s="261" t="s">
        <v>309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54">
        <v>1</v>
      </c>
      <c r="B76" s="187" t="s">
        <v>744</v>
      </c>
      <c r="C76" s="195">
        <v>41012.592712310383</v>
      </c>
      <c r="D76" s="68"/>
      <c r="E76" s="68"/>
      <c r="F76" s="250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54">
        <v>2</v>
      </c>
      <c r="B77" s="187" t="s">
        <v>745</v>
      </c>
      <c r="C77" s="363">
        <v>970726.86098922137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61"/>
      <c r="B78" s="311" t="s">
        <v>35</v>
      </c>
      <c r="C78" s="312">
        <f>SUM(C76:C77)</f>
        <v>1011739.4537015317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25">
      <c r="A79" s="249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25">
      <c r="A80" s="261" t="s">
        <v>298</v>
      </c>
      <c r="B80" s="328" t="s">
        <v>274</v>
      </c>
      <c r="C80" s="261" t="s">
        <v>309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3">
      <c r="A81" s="254">
        <v>1</v>
      </c>
      <c r="B81" s="187" t="s">
        <v>517</v>
      </c>
      <c r="C81" s="322">
        <v>1100000</v>
      </c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3">
      <c r="A82" s="254">
        <v>2</v>
      </c>
      <c r="B82" s="187" t="s">
        <v>631</v>
      </c>
      <c r="C82" s="322">
        <f>88294.17*12</f>
        <v>1059530.04</v>
      </c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61"/>
      <c r="B83" s="311" t="s">
        <v>746</v>
      </c>
      <c r="C83" s="312">
        <v>55000</v>
      </c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54"/>
      <c r="B84" s="311" t="s">
        <v>747</v>
      </c>
      <c r="C84" s="347">
        <v>88294.17</v>
      </c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54"/>
      <c r="B85" s="187"/>
      <c r="C85" s="327">
        <f>SUM(C83:C84)</f>
        <v>143294.16999999998</v>
      </c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3.5" customHeight="1" x14ac:dyDescent="0.25">
      <c r="A278" s="249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62"/>
      <c r="U278" s="162"/>
      <c r="V278" s="162"/>
      <c r="W278" s="162"/>
      <c r="X278" s="162"/>
      <c r="Y278" s="162"/>
      <c r="Z278" s="162"/>
    </row>
    <row r="279" spans="1:26" ht="13.5" customHeight="1" x14ac:dyDescent="0.25">
      <c r="A279" s="249"/>
      <c r="B279" s="68"/>
      <c r="C279" s="68"/>
      <c r="D279" s="68"/>
      <c r="E279" s="68"/>
      <c r="F279" s="68"/>
      <c r="G279" s="68"/>
      <c r="H279" s="68"/>
      <c r="K279" s="68"/>
      <c r="L279" s="68"/>
      <c r="M279" s="68"/>
      <c r="N279" s="68"/>
      <c r="O279" s="68"/>
      <c r="P279" s="68"/>
      <c r="Q279" s="68"/>
      <c r="R279" s="68"/>
      <c r="S279" s="68"/>
      <c r="T279" s="162"/>
      <c r="U279" s="162"/>
      <c r="V279" s="162"/>
      <c r="W279" s="162"/>
      <c r="X279" s="162"/>
      <c r="Y279" s="162"/>
      <c r="Z279" s="162"/>
    </row>
    <row r="280" spans="1:26" ht="13.5" customHeight="1" x14ac:dyDescent="0.25">
      <c r="A280" s="249"/>
      <c r="B280" s="68"/>
      <c r="C280" s="68"/>
      <c r="D280" s="68"/>
      <c r="E280" s="68"/>
      <c r="F280" s="68"/>
      <c r="G280" s="68"/>
      <c r="H280" s="68"/>
      <c r="K280" s="68"/>
      <c r="L280" s="68"/>
      <c r="M280" s="68"/>
      <c r="N280" s="68"/>
      <c r="O280" s="68"/>
      <c r="P280" s="68"/>
      <c r="Q280" s="68"/>
      <c r="R280" s="68"/>
      <c r="S280" s="68"/>
      <c r="T280" s="162"/>
      <c r="U280" s="162"/>
      <c r="V280" s="162"/>
      <c r="W280" s="162"/>
      <c r="X280" s="162"/>
      <c r="Y280" s="162"/>
      <c r="Z280" s="162"/>
    </row>
    <row r="281" spans="1:26" ht="13.5" customHeight="1" x14ac:dyDescent="0.25">
      <c r="A281" s="249"/>
      <c r="B281" s="68"/>
      <c r="C281" s="68"/>
      <c r="D281" s="68"/>
      <c r="E281" s="68"/>
      <c r="F281" s="68"/>
      <c r="G281" s="68"/>
      <c r="H281" s="68"/>
      <c r="K281" s="68"/>
      <c r="L281" s="68"/>
      <c r="M281" s="68"/>
      <c r="N281" s="68"/>
      <c r="O281" s="68"/>
      <c r="P281" s="68"/>
      <c r="Q281" s="68"/>
      <c r="R281" s="68"/>
      <c r="S281" s="68"/>
      <c r="T281" s="162"/>
      <c r="U281" s="162"/>
      <c r="V281" s="162"/>
      <c r="W281" s="162"/>
      <c r="X281" s="162"/>
      <c r="Y281" s="162"/>
      <c r="Z281" s="162"/>
    </row>
    <row r="282" spans="1:26" ht="13.5" customHeight="1" x14ac:dyDescent="0.25">
      <c r="A282" s="249"/>
      <c r="B282" s="68"/>
      <c r="C282" s="68"/>
      <c r="D282" s="68"/>
      <c r="E282" s="68"/>
      <c r="F282" s="68"/>
      <c r="G282" s="68"/>
      <c r="H282" s="68"/>
      <c r="K282" s="68"/>
      <c r="L282" s="68"/>
      <c r="M282" s="68"/>
      <c r="N282" s="68"/>
      <c r="O282" s="68"/>
      <c r="P282" s="68"/>
      <c r="Q282" s="68"/>
      <c r="R282" s="68"/>
      <c r="S282" s="68"/>
      <c r="T282" s="162"/>
      <c r="U282" s="162"/>
      <c r="V282" s="162"/>
      <c r="W282" s="162"/>
      <c r="X282" s="162"/>
      <c r="Y282" s="162"/>
      <c r="Z282" s="162"/>
    </row>
    <row r="283" spans="1:26" ht="13.5" customHeight="1" x14ac:dyDescent="0.25">
      <c r="A283" s="249"/>
      <c r="B283" s="68"/>
      <c r="C283" s="68"/>
      <c r="D283" s="68"/>
      <c r="E283" s="68"/>
      <c r="F283" s="68"/>
      <c r="G283" s="68"/>
      <c r="H283" s="68"/>
      <c r="K283" s="68"/>
      <c r="L283" s="68"/>
      <c r="M283" s="68"/>
      <c r="N283" s="68"/>
      <c r="O283" s="68"/>
      <c r="P283" s="68"/>
      <c r="Q283" s="68"/>
      <c r="R283" s="68"/>
      <c r="S283" s="68"/>
      <c r="T283" s="162"/>
      <c r="U283" s="162"/>
      <c r="V283" s="162"/>
      <c r="W283" s="162"/>
      <c r="X283" s="162"/>
      <c r="Y283" s="162"/>
      <c r="Z283" s="162"/>
    </row>
    <row r="284" spans="1:26" ht="13.5" customHeight="1" x14ac:dyDescent="0.25">
      <c r="A284" s="249"/>
      <c r="B284" s="68"/>
      <c r="C284" s="68"/>
      <c r="D284" s="68"/>
      <c r="E284" s="68"/>
      <c r="F284" s="68"/>
      <c r="G284" s="68"/>
      <c r="H284" s="68"/>
      <c r="K284" s="68"/>
      <c r="L284" s="68"/>
      <c r="M284" s="68"/>
      <c r="N284" s="68"/>
      <c r="O284" s="68"/>
      <c r="P284" s="68"/>
      <c r="Q284" s="68"/>
      <c r="R284" s="68"/>
      <c r="S284" s="68"/>
      <c r="T284" s="162"/>
      <c r="U284" s="162"/>
      <c r="V284" s="162"/>
      <c r="W284" s="162"/>
      <c r="X284" s="162"/>
      <c r="Y284" s="162"/>
      <c r="Z284" s="162"/>
    </row>
    <row r="285" spans="1:26" ht="13.5" customHeight="1" x14ac:dyDescent="0.25">
      <c r="A285" s="249"/>
      <c r="B285" s="68"/>
      <c r="C285" s="68"/>
      <c r="D285" s="68"/>
      <c r="E285" s="68"/>
      <c r="F285" s="68"/>
      <c r="G285" s="68"/>
      <c r="H285" s="68"/>
      <c r="K285" s="68"/>
      <c r="L285" s="68"/>
      <c r="M285" s="68"/>
      <c r="N285" s="68"/>
      <c r="O285" s="68"/>
      <c r="P285" s="68"/>
      <c r="Q285" s="68"/>
      <c r="R285" s="68"/>
      <c r="S285" s="68"/>
      <c r="T285" s="162"/>
      <c r="U285" s="162"/>
      <c r="V285" s="162"/>
      <c r="W285" s="162"/>
      <c r="X285" s="162"/>
      <c r="Y285" s="162"/>
      <c r="Z285" s="162"/>
    </row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5703125" customWidth="1"/>
    <col min="2" max="2" width="67.85546875" customWidth="1"/>
    <col min="3" max="3" width="19.28515625" customWidth="1"/>
    <col min="4" max="4" width="16" customWidth="1"/>
    <col min="5" max="5" width="16.28515625" customWidth="1"/>
    <col min="6" max="6" width="38" customWidth="1"/>
    <col min="7" max="7" width="17.42578125" customWidth="1"/>
    <col min="8" max="8" width="17.7109375" customWidth="1"/>
    <col min="9" max="9" width="22" customWidth="1"/>
    <col min="10" max="10" width="16.140625" customWidth="1"/>
    <col min="11" max="11" width="8.5703125" customWidth="1"/>
    <col min="12" max="12" width="13.42578125" customWidth="1"/>
    <col min="13" max="19" width="9" customWidth="1"/>
  </cols>
  <sheetData>
    <row r="1" spans="1:26" ht="13.5" customHeight="1" x14ac:dyDescent="0.25">
      <c r="A1" s="249"/>
      <c r="B1" s="68"/>
      <c r="C1" s="68"/>
      <c r="D1" s="68"/>
      <c r="E1" s="68" t="s">
        <v>281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62"/>
      <c r="U1" s="162"/>
      <c r="V1" s="162"/>
      <c r="W1" s="162"/>
      <c r="X1" s="162"/>
      <c r="Y1" s="162"/>
      <c r="Z1" s="162"/>
    </row>
    <row r="2" spans="1:26" ht="28.5" customHeight="1" x14ac:dyDescent="0.25">
      <c r="A2" s="410" t="s">
        <v>748</v>
      </c>
      <c r="B2" s="382"/>
      <c r="C2" s="382"/>
      <c r="D2" s="382"/>
      <c r="E2" s="382"/>
      <c r="F2" s="382"/>
      <c r="G2" s="382"/>
      <c r="H2" s="383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2"/>
      <c r="U2" s="162"/>
      <c r="V2" s="162"/>
      <c r="W2" s="162"/>
      <c r="X2" s="162"/>
      <c r="Y2" s="162"/>
      <c r="Z2" s="162"/>
    </row>
    <row r="3" spans="1:26" ht="28.5" customHeight="1" x14ac:dyDescent="0.25">
      <c r="A3" s="262"/>
      <c r="B3" s="164" t="s">
        <v>107</v>
      </c>
      <c r="C3" s="165" t="s">
        <v>108</v>
      </c>
      <c r="D3" s="166">
        <v>490749</v>
      </c>
      <c r="E3" s="411" t="s">
        <v>290</v>
      </c>
      <c r="F3" s="385"/>
      <c r="G3" s="412"/>
      <c r="H3" s="167" t="s">
        <v>291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62"/>
      <c r="U3" s="162"/>
      <c r="V3" s="162"/>
      <c r="W3" s="162"/>
      <c r="X3" s="162"/>
      <c r="Y3" s="162"/>
      <c r="Z3" s="162"/>
    </row>
    <row r="4" spans="1:26" ht="28.5" customHeight="1" x14ac:dyDescent="0.25">
      <c r="A4" s="413" t="s">
        <v>109</v>
      </c>
      <c r="B4" s="414"/>
      <c r="C4" s="168" t="s">
        <v>110</v>
      </c>
      <c r="D4" s="169">
        <f>SUM(D6:D18)</f>
        <v>8.0152927922375543</v>
      </c>
      <c r="E4" s="170" t="s">
        <v>36</v>
      </c>
      <c r="F4" s="171" t="s">
        <v>292</v>
      </c>
      <c r="G4" s="172">
        <v>167554</v>
      </c>
      <c r="H4" s="173">
        <f>D3-G4</f>
        <v>323195</v>
      </c>
      <c r="I4" s="68" t="s">
        <v>749</v>
      </c>
      <c r="J4" s="68" t="s">
        <v>750</v>
      </c>
      <c r="K4" s="68"/>
      <c r="L4" s="68"/>
      <c r="M4" s="68"/>
      <c r="N4" s="68"/>
      <c r="O4" s="68"/>
      <c r="P4" s="68"/>
      <c r="Q4" s="68"/>
      <c r="R4" s="68"/>
      <c r="S4" s="68"/>
      <c r="T4" s="162"/>
      <c r="U4" s="162"/>
      <c r="V4" s="162"/>
      <c r="W4" s="162"/>
      <c r="X4" s="162"/>
      <c r="Y4" s="162"/>
      <c r="Z4" s="162"/>
    </row>
    <row r="5" spans="1:26" ht="28.5" customHeight="1" x14ac:dyDescent="0.25">
      <c r="A5" s="297" t="s">
        <v>33</v>
      </c>
      <c r="B5" s="314" t="s">
        <v>34</v>
      </c>
      <c r="C5" s="315" t="s">
        <v>111</v>
      </c>
      <c r="D5" s="316" t="s">
        <v>112</v>
      </c>
      <c r="E5" s="178"/>
      <c r="F5" s="179"/>
      <c r="G5" s="180"/>
      <c r="H5" s="18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62"/>
      <c r="U5" s="162"/>
      <c r="V5" s="162"/>
      <c r="W5" s="162"/>
      <c r="X5" s="162"/>
      <c r="Y5" s="162"/>
      <c r="Z5" s="162"/>
    </row>
    <row r="6" spans="1:26" ht="28.5" customHeight="1" x14ac:dyDescent="0.25">
      <c r="A6" s="182">
        <v>1</v>
      </c>
      <c r="B6" s="183" t="s">
        <v>751</v>
      </c>
      <c r="C6" s="195">
        <f>292233+137500</f>
        <v>429733</v>
      </c>
      <c r="D6" s="185">
        <f>C6/D3</f>
        <v>0.87566760197168003</v>
      </c>
      <c r="E6" s="186"/>
      <c r="F6" s="187"/>
      <c r="G6" s="188">
        <f>D6*G4</f>
        <v>146721.60938076288</v>
      </c>
      <c r="H6" s="189">
        <f t="shared" ref="H6:H8" si="0">C6-G6</f>
        <v>283011.39061923709</v>
      </c>
      <c r="I6" s="197">
        <f t="shared" ref="I6:I18" si="1">G6/$G$4</f>
        <v>0.87566760197168003</v>
      </c>
      <c r="J6" s="197">
        <f t="shared" ref="J6:J18" si="2">H6/$H$4</f>
        <v>0.87566760197167992</v>
      </c>
      <c r="K6" s="68"/>
      <c r="L6" s="68"/>
      <c r="M6" s="68"/>
      <c r="N6" s="68"/>
      <c r="O6" s="68"/>
      <c r="P6" s="68"/>
      <c r="Q6" s="68"/>
      <c r="R6" s="68"/>
      <c r="S6" s="68"/>
      <c r="T6" s="162"/>
      <c r="U6" s="162"/>
      <c r="V6" s="162"/>
      <c r="W6" s="162"/>
      <c r="X6" s="162"/>
      <c r="Y6" s="162"/>
      <c r="Z6" s="162"/>
    </row>
    <row r="7" spans="1:26" ht="28.5" customHeight="1" x14ac:dyDescent="0.25">
      <c r="A7" s="182">
        <v>2</v>
      </c>
      <c r="B7" s="194" t="s">
        <v>752</v>
      </c>
      <c r="C7" s="184">
        <v>472384</v>
      </c>
      <c r="D7" s="185">
        <f>C7/D3</f>
        <v>0.96257761095794392</v>
      </c>
      <c r="E7" s="191">
        <f>C7*(D29)</f>
        <v>153140.09095535488</v>
      </c>
      <c r="F7" s="192">
        <f>E7/D3</f>
        <v>0.31205380134316091</v>
      </c>
      <c r="G7" s="188">
        <f>F7*G4</f>
        <v>52285.862630251984</v>
      </c>
      <c r="H7" s="189">
        <f t="shared" si="0"/>
        <v>420098.13736974803</v>
      </c>
      <c r="I7" s="197">
        <f t="shared" si="1"/>
        <v>0.31205380134316091</v>
      </c>
      <c r="J7" s="197">
        <f t="shared" si="2"/>
        <v>1.2998287020831016</v>
      </c>
      <c r="K7" s="68"/>
      <c r="L7" s="68"/>
      <c r="M7" s="68"/>
      <c r="N7" s="68"/>
      <c r="O7" s="68"/>
      <c r="P7" s="68"/>
      <c r="Q7" s="68"/>
      <c r="R7" s="68"/>
      <c r="S7" s="68"/>
      <c r="T7" s="162"/>
      <c r="U7" s="162"/>
      <c r="V7" s="162"/>
      <c r="W7" s="162"/>
      <c r="X7" s="162"/>
      <c r="Y7" s="162"/>
      <c r="Z7" s="162"/>
    </row>
    <row r="8" spans="1:26" ht="28.5" customHeight="1" x14ac:dyDescent="0.25">
      <c r="A8" s="182">
        <v>3</v>
      </c>
      <c r="B8" s="194" t="s">
        <v>753</v>
      </c>
      <c r="C8" s="184">
        <v>659735</v>
      </c>
      <c r="D8" s="185">
        <f>C8/D3</f>
        <v>1.3443430348304326</v>
      </c>
      <c r="E8" s="191">
        <f>C8*D28</f>
        <v>451178.10424542468</v>
      </c>
      <c r="F8" s="192">
        <f>E8/D3</f>
        <v>0.91936632422159736</v>
      </c>
      <c r="G8" s="193">
        <f>F8*G4</f>
        <v>154043.50508862553</v>
      </c>
      <c r="H8" s="189">
        <f t="shared" si="0"/>
        <v>505691.49491137447</v>
      </c>
      <c r="I8" s="197">
        <f t="shared" si="1"/>
        <v>0.91936632422159736</v>
      </c>
      <c r="J8" s="197">
        <f t="shared" si="2"/>
        <v>1.5646637321473862</v>
      </c>
      <c r="K8" s="68"/>
      <c r="L8" s="68"/>
      <c r="M8" s="68"/>
      <c r="N8" s="68"/>
      <c r="O8" s="68"/>
      <c r="P8" s="68"/>
      <c r="Q8" s="68"/>
      <c r="R8" s="68"/>
      <c r="S8" s="68"/>
      <c r="T8" s="162"/>
      <c r="U8" s="162"/>
      <c r="V8" s="162"/>
      <c r="W8" s="162"/>
      <c r="X8" s="162"/>
      <c r="Y8" s="162"/>
      <c r="Z8" s="162"/>
    </row>
    <row r="9" spans="1:26" ht="28.5" customHeight="1" x14ac:dyDescent="0.25">
      <c r="A9" s="182">
        <v>4</v>
      </c>
      <c r="B9" s="194" t="s">
        <v>754</v>
      </c>
      <c r="C9" s="184">
        <v>683583</v>
      </c>
      <c r="D9" s="185">
        <f>C9/D3</f>
        <v>1.3929381414939206</v>
      </c>
      <c r="E9" s="186"/>
      <c r="F9" s="187"/>
      <c r="G9" s="188">
        <f>G4*D9</f>
        <v>233392.35735987237</v>
      </c>
      <c r="H9" s="189">
        <f>H4*D9</f>
        <v>450190.64264012768</v>
      </c>
      <c r="I9" s="197">
        <f t="shared" si="1"/>
        <v>1.3929381414939206</v>
      </c>
      <c r="J9" s="197">
        <f t="shared" si="2"/>
        <v>1.3929381414939206</v>
      </c>
      <c r="K9" s="68"/>
      <c r="L9" s="68"/>
      <c r="M9" s="68"/>
      <c r="N9" s="68"/>
      <c r="O9" s="68"/>
      <c r="P9" s="68"/>
      <c r="Q9" s="68"/>
      <c r="R9" s="68"/>
      <c r="S9" s="68"/>
      <c r="T9" s="162"/>
      <c r="U9" s="162"/>
      <c r="V9" s="162"/>
      <c r="W9" s="162"/>
      <c r="X9" s="162"/>
      <c r="Y9" s="162"/>
      <c r="Z9" s="162"/>
    </row>
    <row r="10" spans="1:26" ht="28.5" customHeight="1" x14ac:dyDescent="0.25">
      <c r="A10" s="182">
        <v>5</v>
      </c>
      <c r="B10" s="194" t="s">
        <v>550</v>
      </c>
      <c r="C10" s="184">
        <f>C44</f>
        <v>207686</v>
      </c>
      <c r="D10" s="185">
        <f>C10/D3</f>
        <v>0.42320208497623019</v>
      </c>
      <c r="E10" s="186"/>
      <c r="F10" s="187"/>
      <c r="G10" s="188">
        <f>D10*G4</f>
        <v>70909.202146107273</v>
      </c>
      <c r="H10" s="189">
        <f t="shared" ref="H10:H15" si="3">C10-G10</f>
        <v>136776.79785389273</v>
      </c>
      <c r="I10" s="197">
        <f t="shared" si="1"/>
        <v>0.42320208497623019</v>
      </c>
      <c r="J10" s="197">
        <f t="shared" si="2"/>
        <v>0.42320208497623024</v>
      </c>
      <c r="K10" s="250"/>
      <c r="L10" s="68"/>
      <c r="M10" s="68"/>
      <c r="N10" s="68"/>
      <c r="O10" s="68"/>
      <c r="P10" s="68"/>
      <c r="Q10" s="68"/>
      <c r="R10" s="68"/>
      <c r="S10" s="68"/>
      <c r="T10" s="162"/>
      <c r="U10" s="162"/>
      <c r="V10" s="162"/>
      <c r="W10" s="162"/>
      <c r="X10" s="162"/>
      <c r="Y10" s="162"/>
      <c r="Z10" s="162"/>
    </row>
    <row r="11" spans="1:26" ht="28.5" customHeight="1" x14ac:dyDescent="0.25">
      <c r="A11" s="182">
        <v>6</v>
      </c>
      <c r="B11" s="194" t="s">
        <v>551</v>
      </c>
      <c r="C11" s="184">
        <f>C52</f>
        <v>40490</v>
      </c>
      <c r="D11" s="185">
        <f>C11/D3</f>
        <v>8.250653592773495E-2</v>
      </c>
      <c r="E11" s="186"/>
      <c r="F11" s="187"/>
      <c r="G11" s="188">
        <v>0</v>
      </c>
      <c r="H11" s="189">
        <f t="shared" si="3"/>
        <v>40490</v>
      </c>
      <c r="I11" s="197">
        <f t="shared" si="1"/>
        <v>0</v>
      </c>
      <c r="J11" s="197">
        <f t="shared" si="2"/>
        <v>0.12528040347158836</v>
      </c>
      <c r="K11" s="68"/>
      <c r="L11" s="68"/>
      <c r="M11" s="68"/>
      <c r="N11" s="68"/>
      <c r="O11" s="68"/>
      <c r="P11" s="68"/>
      <c r="Q11" s="68"/>
      <c r="R11" s="68"/>
      <c r="S11" s="68"/>
      <c r="T11" s="162"/>
      <c r="U11" s="162"/>
      <c r="V11" s="162"/>
      <c r="W11" s="162"/>
      <c r="X11" s="162"/>
      <c r="Y11" s="162"/>
      <c r="Z11" s="162"/>
    </row>
    <row r="12" spans="1:26" ht="28.5" customHeight="1" x14ac:dyDescent="0.25">
      <c r="A12" s="182">
        <v>7</v>
      </c>
      <c r="B12" s="194" t="s">
        <v>755</v>
      </c>
      <c r="C12" s="184">
        <f>C62</f>
        <v>92619</v>
      </c>
      <c r="D12" s="185">
        <f>C12/D3</f>
        <v>0.18872988024427967</v>
      </c>
      <c r="E12" s="191">
        <f t="shared" ref="E12:E13" si="4">C12*D28</f>
        <v>63340.075692675069</v>
      </c>
      <c r="F12" s="192">
        <f>E12/D3</f>
        <v>0.12906817067925777</v>
      </c>
      <c r="G12" s="188">
        <f>F12*G4</f>
        <v>21625.888269992356</v>
      </c>
      <c r="H12" s="189">
        <f t="shared" si="3"/>
        <v>70993.111730007644</v>
      </c>
      <c r="I12" s="197">
        <f t="shared" si="1"/>
        <v>0.12906817067925777</v>
      </c>
      <c r="J12" s="197">
        <f t="shared" si="2"/>
        <v>0.2196603033153596</v>
      </c>
      <c r="K12" s="68"/>
      <c r="L12" s="68"/>
      <c r="M12" s="68"/>
      <c r="N12" s="68"/>
      <c r="O12" s="68"/>
      <c r="P12" s="68"/>
      <c r="Q12" s="68"/>
      <c r="R12" s="68"/>
      <c r="S12" s="68"/>
      <c r="T12" s="162"/>
      <c r="U12" s="162"/>
      <c r="V12" s="162"/>
      <c r="W12" s="162"/>
      <c r="X12" s="162"/>
      <c r="Y12" s="162"/>
      <c r="Z12" s="162"/>
    </row>
    <row r="13" spans="1:26" ht="28.5" customHeight="1" x14ac:dyDescent="0.25">
      <c r="A13" s="182">
        <v>8</v>
      </c>
      <c r="B13" s="183" t="s">
        <v>294</v>
      </c>
      <c r="C13" s="195"/>
      <c r="D13" s="185">
        <f>C13/D3</f>
        <v>0</v>
      </c>
      <c r="E13" s="191">
        <f t="shared" si="4"/>
        <v>0</v>
      </c>
      <c r="F13" s="192">
        <f>E13/D3</f>
        <v>0</v>
      </c>
      <c r="G13" s="188">
        <f>F13*G4</f>
        <v>0</v>
      </c>
      <c r="H13" s="189">
        <f t="shared" si="3"/>
        <v>0</v>
      </c>
      <c r="I13" s="197">
        <f t="shared" si="1"/>
        <v>0</v>
      </c>
      <c r="J13" s="197">
        <f t="shared" si="2"/>
        <v>0</v>
      </c>
      <c r="K13" s="68"/>
      <c r="L13" s="68"/>
      <c r="M13" s="68"/>
      <c r="N13" s="68"/>
      <c r="O13" s="68"/>
      <c r="P13" s="68"/>
      <c r="Q13" s="68"/>
      <c r="R13" s="68"/>
      <c r="S13" s="68"/>
      <c r="T13" s="162"/>
      <c r="U13" s="162"/>
      <c r="V13" s="162"/>
      <c r="W13" s="162"/>
      <c r="X13" s="162"/>
      <c r="Y13" s="162"/>
      <c r="Z13" s="162"/>
    </row>
    <row r="14" spans="1:26" ht="28.5" customHeight="1" x14ac:dyDescent="0.25">
      <c r="A14" s="182">
        <v>9</v>
      </c>
      <c r="B14" s="183" t="s">
        <v>756</v>
      </c>
      <c r="C14" s="195">
        <f>C76</f>
        <v>1159983.922497788</v>
      </c>
      <c r="D14" s="196">
        <f>C14/D3</f>
        <v>2.3637010416685271</v>
      </c>
      <c r="E14" s="191">
        <f>C14*(D29)</f>
        <v>376050.08509615186</v>
      </c>
      <c r="F14" s="192">
        <f>E14/D3</f>
        <v>0.76627784284053935</v>
      </c>
      <c r="G14" s="188">
        <f>F14*G4</f>
        <v>128392.91767930373</v>
      </c>
      <c r="H14" s="189">
        <f t="shared" si="3"/>
        <v>1031591.0048184842</v>
      </c>
      <c r="I14" s="197">
        <f t="shared" si="1"/>
        <v>0.76627784284053935</v>
      </c>
      <c r="J14" s="197">
        <f t="shared" si="2"/>
        <v>3.1918532304598903</v>
      </c>
      <c r="K14" s="68"/>
      <c r="L14" s="68"/>
      <c r="M14" s="68"/>
      <c r="N14" s="68"/>
      <c r="O14" s="68"/>
      <c r="P14" s="68"/>
      <c r="Q14" s="68"/>
      <c r="R14" s="68"/>
      <c r="S14" s="68"/>
      <c r="T14" s="162"/>
      <c r="U14" s="162"/>
      <c r="V14" s="162"/>
      <c r="W14" s="162"/>
      <c r="X14" s="162"/>
      <c r="Y14" s="162"/>
      <c r="Z14" s="162"/>
    </row>
    <row r="15" spans="1:26" ht="28.5" customHeight="1" x14ac:dyDescent="0.25">
      <c r="A15" s="182">
        <v>10</v>
      </c>
      <c r="B15" s="183" t="s">
        <v>757</v>
      </c>
      <c r="C15" s="184">
        <v>43988.83</v>
      </c>
      <c r="D15" s="185">
        <f>C15/D3</f>
        <v>8.9636107256459013E-2</v>
      </c>
      <c r="E15" s="186"/>
      <c r="F15" s="187"/>
      <c r="G15" s="188">
        <f>G4*D15</f>
        <v>15018.888315248734</v>
      </c>
      <c r="H15" s="189">
        <f t="shared" si="3"/>
        <v>28969.941684751269</v>
      </c>
      <c r="I15" s="197">
        <f t="shared" si="1"/>
        <v>8.9636107256459013E-2</v>
      </c>
      <c r="J15" s="197">
        <f t="shared" si="2"/>
        <v>8.9636107256459013E-2</v>
      </c>
      <c r="K15" s="68"/>
      <c r="L15" s="68"/>
      <c r="M15" s="68"/>
      <c r="N15" s="68"/>
      <c r="O15" s="68"/>
      <c r="P15" s="68"/>
      <c r="Q15" s="68"/>
      <c r="R15" s="68"/>
      <c r="S15" s="68"/>
      <c r="T15" s="162"/>
      <c r="U15" s="162"/>
      <c r="V15" s="162"/>
      <c r="W15" s="162"/>
      <c r="X15" s="162"/>
      <c r="Y15" s="162"/>
      <c r="Z15" s="162"/>
    </row>
    <row r="16" spans="1:26" ht="28.5" customHeight="1" x14ac:dyDescent="0.25">
      <c r="A16" s="182">
        <v>11</v>
      </c>
      <c r="B16" s="194" t="s">
        <v>48</v>
      </c>
      <c r="C16" s="184">
        <f>E33</f>
        <v>85163.650000000009</v>
      </c>
      <c r="D16" s="185"/>
      <c r="E16" s="186"/>
      <c r="F16" s="187"/>
      <c r="G16" s="188"/>
      <c r="H16" s="189">
        <f t="shared" ref="H16:H17" si="5">C16</f>
        <v>85163.650000000009</v>
      </c>
      <c r="I16" s="197">
        <f t="shared" si="1"/>
        <v>0</v>
      </c>
      <c r="J16" s="197">
        <f t="shared" si="2"/>
        <v>0.26350546883460452</v>
      </c>
      <c r="K16" s="68"/>
      <c r="L16" s="68"/>
      <c r="M16" s="68"/>
      <c r="N16" s="68"/>
      <c r="O16" s="68"/>
      <c r="P16" s="68"/>
      <c r="Q16" s="68"/>
      <c r="R16" s="68"/>
      <c r="S16" s="68"/>
      <c r="T16" s="162"/>
      <c r="U16" s="162"/>
      <c r="V16" s="162"/>
      <c r="W16" s="162"/>
      <c r="X16" s="162"/>
      <c r="Y16" s="162"/>
      <c r="Z16" s="162"/>
    </row>
    <row r="17" spans="1:26" ht="28.5" customHeight="1" x14ac:dyDescent="0.25">
      <c r="A17" s="182">
        <v>12</v>
      </c>
      <c r="B17" s="183" t="s">
        <v>758</v>
      </c>
      <c r="C17" s="184">
        <f>C71</f>
        <v>140585</v>
      </c>
      <c r="D17" s="185"/>
      <c r="E17" s="186"/>
      <c r="F17" s="187"/>
      <c r="G17" s="188">
        <v>0</v>
      </c>
      <c r="H17" s="189">
        <f t="shared" si="5"/>
        <v>140585</v>
      </c>
      <c r="I17" s="197">
        <f t="shared" si="1"/>
        <v>0</v>
      </c>
      <c r="J17" s="197">
        <f t="shared" si="2"/>
        <v>0.43498507093240923</v>
      </c>
      <c r="K17" s="68"/>
      <c r="L17" s="68"/>
      <c r="M17" s="68"/>
      <c r="N17" s="68"/>
      <c r="O17" s="68"/>
      <c r="P17" s="68"/>
      <c r="Q17" s="68"/>
      <c r="R17" s="68"/>
      <c r="S17" s="68"/>
      <c r="T17" s="162"/>
      <c r="U17" s="162"/>
      <c r="V17" s="162"/>
      <c r="W17" s="162"/>
      <c r="X17" s="162"/>
      <c r="Y17" s="162"/>
      <c r="Z17" s="162"/>
    </row>
    <row r="18" spans="1:26" ht="28.5" customHeight="1" x14ac:dyDescent="0.25">
      <c r="A18" s="306">
        <v>13</v>
      </c>
      <c r="B18" s="317" t="s">
        <v>759</v>
      </c>
      <c r="C18" s="318">
        <f>C83</f>
        <v>143294.16999999998</v>
      </c>
      <c r="D18" s="319">
        <f>C18/D3</f>
        <v>0.29199075291034721</v>
      </c>
      <c r="E18" s="202"/>
      <c r="F18" s="203"/>
      <c r="G18" s="204">
        <f>D18*G4</f>
        <v>48924.218613140314</v>
      </c>
      <c r="H18" s="205">
        <f>C18-G18</f>
        <v>94369.95138685967</v>
      </c>
      <c r="I18" s="197">
        <f t="shared" si="1"/>
        <v>0.29199075291034721</v>
      </c>
      <c r="J18" s="197">
        <f t="shared" si="2"/>
        <v>0.29199075291034721</v>
      </c>
      <c r="K18" s="68"/>
      <c r="L18" s="68"/>
      <c r="M18" s="68"/>
      <c r="N18" s="68"/>
      <c r="O18" s="68"/>
      <c r="P18" s="68"/>
      <c r="Q18" s="68"/>
      <c r="R18" s="68"/>
      <c r="S18" s="68"/>
      <c r="T18" s="162"/>
      <c r="U18" s="162"/>
      <c r="V18" s="162"/>
      <c r="W18" s="162"/>
      <c r="X18" s="162"/>
      <c r="Y18" s="162"/>
      <c r="Z18" s="162"/>
    </row>
    <row r="19" spans="1:26" ht="20.25" customHeight="1" x14ac:dyDescent="0.25">
      <c r="A19" s="265" t="s">
        <v>124</v>
      </c>
      <c r="B19" s="266" t="s">
        <v>51</v>
      </c>
      <c r="C19" s="267">
        <f>SUM(C6:C18)</f>
        <v>4159245.5724977879</v>
      </c>
      <c r="D19" s="268"/>
      <c r="E19" s="269"/>
      <c r="F19" s="270"/>
      <c r="G19" s="271">
        <f t="shared" ref="G19:H19" si="6">SUM(G6:G18)</f>
        <v>871314.44948330522</v>
      </c>
      <c r="H19" s="272">
        <f t="shared" si="6"/>
        <v>3287931.1230144827</v>
      </c>
      <c r="I19" s="214"/>
      <c r="J19" s="250"/>
      <c r="K19" s="68"/>
      <c r="L19" s="68"/>
      <c r="M19" s="68"/>
      <c r="N19" s="68"/>
      <c r="O19" s="68"/>
      <c r="P19" s="68"/>
      <c r="Q19" s="68"/>
      <c r="R19" s="68"/>
      <c r="S19" s="68"/>
      <c r="T19" s="162"/>
      <c r="U19" s="162"/>
      <c r="V19" s="162"/>
      <c r="W19" s="162"/>
      <c r="X19" s="162"/>
      <c r="Y19" s="162"/>
      <c r="Z19" s="162"/>
    </row>
    <row r="20" spans="1:26" ht="20.25" customHeight="1" x14ac:dyDescent="0.25">
      <c r="A20" s="163">
        <v>14</v>
      </c>
      <c r="B20" s="273" t="s">
        <v>125</v>
      </c>
      <c r="C20" s="274">
        <v>0</v>
      </c>
      <c r="D20" s="275">
        <f>C20/D3</f>
        <v>0</v>
      </c>
      <c r="E20" s="276"/>
      <c r="F20" s="277"/>
      <c r="G20" s="278">
        <v>0</v>
      </c>
      <c r="H20" s="279">
        <f t="shared" ref="H20:H21" si="7">C20-G20</f>
        <v>0</v>
      </c>
      <c r="I20" s="197">
        <f t="shared" ref="I20:I21" si="8">G20/$G$4</f>
        <v>0</v>
      </c>
      <c r="J20" s="197">
        <f t="shared" ref="J20:J21" si="9">H20/$H$4</f>
        <v>0</v>
      </c>
      <c r="K20" s="68"/>
      <c r="L20" s="68"/>
      <c r="M20" s="68"/>
      <c r="N20" s="68"/>
      <c r="O20" s="68"/>
      <c r="P20" s="68"/>
      <c r="Q20" s="68"/>
      <c r="R20" s="68"/>
      <c r="S20" s="68"/>
      <c r="T20" s="162"/>
      <c r="U20" s="162"/>
      <c r="V20" s="162"/>
      <c r="W20" s="162"/>
      <c r="X20" s="162"/>
      <c r="Y20" s="162"/>
      <c r="Z20" s="162"/>
    </row>
    <row r="21" spans="1:26" ht="20.25" customHeight="1" x14ac:dyDescent="0.25">
      <c r="A21" s="223">
        <v>15</v>
      </c>
      <c r="B21" s="224" t="s">
        <v>53</v>
      </c>
      <c r="C21" s="225">
        <v>490749</v>
      </c>
      <c r="D21" s="226">
        <f>C21/D3</f>
        <v>1</v>
      </c>
      <c r="E21" s="227"/>
      <c r="F21" s="69"/>
      <c r="G21" s="228">
        <f>D21*G4</f>
        <v>167554</v>
      </c>
      <c r="H21" s="229">
        <f t="shared" si="7"/>
        <v>323195</v>
      </c>
      <c r="I21" s="197">
        <f t="shared" si="8"/>
        <v>1</v>
      </c>
      <c r="J21" s="197">
        <f t="shared" si="9"/>
        <v>1</v>
      </c>
      <c r="K21" s="68"/>
      <c r="L21" s="68"/>
      <c r="M21" s="68"/>
      <c r="N21" s="68"/>
      <c r="O21" s="68"/>
      <c r="P21" s="68"/>
      <c r="Q21" s="68"/>
      <c r="R21" s="68"/>
      <c r="S21" s="68"/>
      <c r="T21" s="162"/>
      <c r="U21" s="162"/>
      <c r="V21" s="162"/>
      <c r="W21" s="162"/>
      <c r="X21" s="162"/>
      <c r="Y21" s="162"/>
      <c r="Z21" s="162"/>
    </row>
    <row r="22" spans="1:26" ht="20.25" customHeight="1" x14ac:dyDescent="0.25">
      <c r="A22" s="170"/>
      <c r="B22" s="280" t="s">
        <v>54</v>
      </c>
      <c r="C22" s="281">
        <f>C19+C20+C21</f>
        <v>4649994.5724977879</v>
      </c>
      <c r="D22" s="282"/>
      <c r="E22" s="283"/>
      <c r="F22" s="284"/>
      <c r="G22" s="285">
        <f t="shared" ref="G22:H22" si="10">G19+G20+G21</f>
        <v>1038868.4494833052</v>
      </c>
      <c r="H22" s="286">
        <f t="shared" si="10"/>
        <v>3611126.1230144827</v>
      </c>
      <c r="I22" s="68"/>
      <c r="J22" s="250"/>
      <c r="K22" s="68"/>
      <c r="L22" s="68"/>
      <c r="M22" s="68"/>
      <c r="N22" s="68"/>
      <c r="O22" s="68"/>
      <c r="P22" s="68"/>
      <c r="Q22" s="68"/>
      <c r="R22" s="68"/>
      <c r="S22" s="68"/>
      <c r="T22" s="162"/>
      <c r="U22" s="162"/>
      <c r="V22" s="162"/>
      <c r="W22" s="162"/>
      <c r="X22" s="162"/>
      <c r="Y22" s="162"/>
      <c r="Z22" s="162"/>
    </row>
    <row r="23" spans="1:26" ht="32.25" customHeight="1" x14ac:dyDescent="0.25">
      <c r="A23" s="287" t="s">
        <v>126</v>
      </c>
      <c r="B23" s="288" t="s">
        <v>55</v>
      </c>
      <c r="C23" s="289">
        <f>(C20+C21+C19)/D3</f>
        <v>9.475301167190942</v>
      </c>
      <c r="D23" s="290"/>
      <c r="E23" s="291"/>
      <c r="F23" s="292"/>
      <c r="G23" s="295">
        <f>(G19+G20+G21)/G4</f>
        <v>6.2002008276931928</v>
      </c>
      <c r="H23" s="294">
        <f>(H20+H21+H19)/H4</f>
        <v>11.173211599852976</v>
      </c>
      <c r="I23" s="343">
        <f t="shared" ref="I23:J23" si="11">SUM(I6:I22)</f>
        <v>6.2002008276931928</v>
      </c>
      <c r="J23" s="343">
        <f t="shared" si="11"/>
        <v>11.173211599852978</v>
      </c>
      <c r="K23" s="197"/>
      <c r="L23" s="197"/>
      <c r="M23" s="197"/>
      <c r="N23" s="197"/>
      <c r="O23" s="197"/>
      <c r="P23" s="68"/>
      <c r="Q23" s="68"/>
      <c r="R23" s="68"/>
      <c r="S23" s="68"/>
      <c r="T23" s="162"/>
      <c r="U23" s="162"/>
      <c r="V23" s="162"/>
      <c r="W23" s="162"/>
      <c r="X23" s="162"/>
      <c r="Y23" s="162"/>
      <c r="Z23" s="162"/>
    </row>
    <row r="24" spans="1:26" ht="13.5" customHeight="1" x14ac:dyDescent="0.25">
      <c r="A24" s="246"/>
      <c r="B24" s="68"/>
      <c r="C24" s="214"/>
      <c r="D24" s="247"/>
      <c r="E24" s="68"/>
      <c r="F24" s="68"/>
      <c r="G24" s="214"/>
      <c r="H24" s="214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62"/>
      <c r="U24" s="162"/>
      <c r="V24" s="162"/>
      <c r="W24" s="162"/>
      <c r="X24" s="162"/>
      <c r="Y24" s="162"/>
      <c r="Z24" s="162"/>
    </row>
    <row r="25" spans="1:26" ht="13.5" customHeight="1" x14ac:dyDescent="0.25">
      <c r="A25" s="249"/>
      <c r="B25" s="68"/>
      <c r="C25" s="250"/>
      <c r="D25" s="68"/>
      <c r="E25" s="68"/>
      <c r="F25" s="68"/>
      <c r="G25" s="68"/>
      <c r="H25" s="68"/>
      <c r="I25" s="250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62"/>
      <c r="U25" s="162"/>
      <c r="V25" s="162"/>
      <c r="W25" s="162"/>
      <c r="X25" s="162"/>
      <c r="Y25" s="162"/>
      <c r="Z25" s="162"/>
    </row>
    <row r="26" spans="1:26" ht="14.25" customHeight="1" x14ac:dyDescent="0.25">
      <c r="A26" s="251" t="s">
        <v>298</v>
      </c>
      <c r="B26" s="251" t="s">
        <v>34</v>
      </c>
      <c r="C26" s="252" t="s">
        <v>299</v>
      </c>
      <c r="D26" s="253" t="s">
        <v>300</v>
      </c>
      <c r="E26" s="253" t="s">
        <v>69</v>
      </c>
      <c r="F26" s="80"/>
      <c r="G26" s="309"/>
      <c r="H26" s="30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96"/>
      <c r="U26" s="296"/>
      <c r="V26" s="296"/>
      <c r="W26" s="296"/>
      <c r="X26" s="296"/>
      <c r="Y26" s="296"/>
      <c r="Z26" s="296"/>
    </row>
    <row r="27" spans="1:26" ht="13.5" customHeight="1" x14ac:dyDescent="0.25">
      <c r="A27" s="254">
        <v>1</v>
      </c>
      <c r="B27" s="255" t="s">
        <v>301</v>
      </c>
      <c r="C27" s="256">
        <v>381481.8729539999</v>
      </c>
      <c r="D27" s="254"/>
      <c r="E27" s="254"/>
      <c r="F27" s="68"/>
      <c r="G27" s="214"/>
      <c r="H27" s="214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62"/>
      <c r="U27" s="162"/>
      <c r="V27" s="162"/>
      <c r="W27" s="162"/>
      <c r="X27" s="162"/>
      <c r="Y27" s="162"/>
      <c r="Z27" s="162"/>
    </row>
    <row r="28" spans="1:26" ht="13.5" customHeight="1" x14ac:dyDescent="0.25">
      <c r="A28" s="254">
        <v>2</v>
      </c>
      <c r="B28" s="255" t="s">
        <v>302</v>
      </c>
      <c r="C28" s="256">
        <v>260886.97468434996</v>
      </c>
      <c r="D28" s="257">
        <f>C28/C27</f>
        <v>0.68387777553930695</v>
      </c>
      <c r="E28" s="254" t="s">
        <v>303</v>
      </c>
      <c r="F28" s="68"/>
      <c r="G28" s="3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62"/>
      <c r="U28" s="162"/>
      <c r="V28" s="162"/>
      <c r="W28" s="162"/>
      <c r="X28" s="162"/>
      <c r="Y28" s="162"/>
      <c r="Z28" s="162"/>
    </row>
    <row r="29" spans="1:26" ht="13.5" customHeight="1" x14ac:dyDescent="0.25">
      <c r="A29" s="254">
        <v>3</v>
      </c>
      <c r="B29" s="255" t="s">
        <v>330</v>
      </c>
      <c r="C29" s="256">
        <v>123670.93026434995</v>
      </c>
      <c r="D29" s="257">
        <f>C29/C27</f>
        <v>0.32418560102661159</v>
      </c>
      <c r="E29" s="254" t="s">
        <v>304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62"/>
      <c r="U29" s="162"/>
      <c r="V29" s="162"/>
      <c r="W29" s="162"/>
      <c r="X29" s="162"/>
      <c r="Y29" s="162"/>
      <c r="Z29" s="162"/>
    </row>
    <row r="30" spans="1:26" ht="13.5" customHeight="1" x14ac:dyDescent="0.25">
      <c r="A30" s="254">
        <v>4</v>
      </c>
      <c r="B30" s="255" t="s">
        <v>305</v>
      </c>
      <c r="C30" s="256"/>
      <c r="D30" s="257"/>
      <c r="E30" s="254"/>
      <c r="F30" s="68"/>
      <c r="G30" s="3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62"/>
      <c r="U30" s="162"/>
      <c r="V30" s="162"/>
      <c r="W30" s="162"/>
      <c r="X30" s="162"/>
      <c r="Y30" s="162"/>
      <c r="Z30" s="162"/>
    </row>
    <row r="31" spans="1:26" ht="13.5" customHeight="1" x14ac:dyDescent="0.25">
      <c r="A31" s="249"/>
      <c r="B31" s="258"/>
      <c r="C31" s="259"/>
      <c r="D31" s="260"/>
      <c r="E31" s="249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62"/>
      <c r="U31" s="162"/>
      <c r="V31" s="162"/>
      <c r="W31" s="162"/>
      <c r="X31" s="162"/>
      <c r="Y31" s="162"/>
      <c r="Z31" s="162"/>
    </row>
    <row r="32" spans="1:26" ht="13.5" customHeight="1" x14ac:dyDescent="0.25">
      <c r="A32" s="261" t="s">
        <v>298</v>
      </c>
      <c r="B32" s="261" t="s">
        <v>32</v>
      </c>
      <c r="C32" s="261" t="s">
        <v>307</v>
      </c>
      <c r="D32" s="261" t="s">
        <v>308</v>
      </c>
      <c r="E32" s="261" t="s">
        <v>309</v>
      </c>
      <c r="F32" s="68"/>
      <c r="G32" s="3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62"/>
      <c r="U32" s="162"/>
      <c r="V32" s="162"/>
      <c r="W32" s="162"/>
      <c r="X32" s="162"/>
      <c r="Y32" s="162"/>
      <c r="Z32" s="162"/>
    </row>
    <row r="33" spans="1:26" ht="13.5" customHeight="1" x14ac:dyDescent="0.25">
      <c r="A33" s="254">
        <v>1</v>
      </c>
      <c r="B33" s="187" t="s">
        <v>310</v>
      </c>
      <c r="C33" s="187">
        <v>473</v>
      </c>
      <c r="D33" s="192">
        <v>180.05</v>
      </c>
      <c r="E33" s="310">
        <f>C33*D33</f>
        <v>85163.650000000009</v>
      </c>
      <c r="F33" s="330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62"/>
      <c r="U33" s="162"/>
      <c r="V33" s="162"/>
      <c r="W33" s="162"/>
      <c r="X33" s="162"/>
      <c r="Y33" s="162"/>
      <c r="Z33" s="162"/>
    </row>
    <row r="34" spans="1:26" ht="13.5" customHeight="1" x14ac:dyDescent="0.25">
      <c r="A34" s="249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62"/>
      <c r="U34" s="162"/>
      <c r="V34" s="162"/>
      <c r="W34" s="162"/>
      <c r="X34" s="162"/>
      <c r="Y34" s="162"/>
      <c r="Z34" s="162"/>
    </row>
    <row r="35" spans="1:26" ht="13.5" customHeight="1" x14ac:dyDescent="0.25">
      <c r="A35" s="261" t="s">
        <v>298</v>
      </c>
      <c r="B35" s="261" t="s">
        <v>557</v>
      </c>
      <c r="C35" s="261" t="s">
        <v>309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62"/>
      <c r="U35" s="162"/>
      <c r="V35" s="162"/>
      <c r="W35" s="162"/>
      <c r="X35" s="162"/>
      <c r="Y35" s="162"/>
      <c r="Z35" s="162"/>
    </row>
    <row r="36" spans="1:26" ht="13.5" customHeight="1" x14ac:dyDescent="0.25">
      <c r="A36" s="254">
        <v>1</v>
      </c>
      <c r="B36" s="187" t="s">
        <v>342</v>
      </c>
      <c r="C36" s="310">
        <v>45000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62"/>
      <c r="U36" s="162"/>
      <c r="V36" s="162"/>
      <c r="W36" s="162"/>
      <c r="X36" s="162"/>
      <c r="Y36" s="162"/>
      <c r="Z36" s="162"/>
    </row>
    <row r="37" spans="1:26" ht="13.5" customHeight="1" x14ac:dyDescent="0.25">
      <c r="A37" s="254">
        <v>2</v>
      </c>
      <c r="B37" s="187" t="s">
        <v>343</v>
      </c>
      <c r="C37" s="310">
        <v>10000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62"/>
      <c r="U37" s="162"/>
      <c r="V37" s="162"/>
      <c r="W37" s="162"/>
      <c r="X37" s="162"/>
      <c r="Y37" s="162"/>
      <c r="Z37" s="162"/>
    </row>
    <row r="38" spans="1:26" ht="13.5" customHeight="1" x14ac:dyDescent="0.25">
      <c r="A38" s="254">
        <v>3</v>
      </c>
      <c r="B38" s="187" t="s">
        <v>344</v>
      </c>
      <c r="C38" s="310">
        <v>6000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62"/>
      <c r="U38" s="162"/>
      <c r="V38" s="162"/>
      <c r="W38" s="162"/>
      <c r="X38" s="162"/>
      <c r="Y38" s="162"/>
      <c r="Z38" s="162"/>
    </row>
    <row r="39" spans="1:26" ht="13.5" customHeight="1" x14ac:dyDescent="0.25">
      <c r="A39" s="254">
        <v>4</v>
      </c>
      <c r="B39" s="187" t="s">
        <v>531</v>
      </c>
      <c r="C39" s="310">
        <v>72000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162"/>
      <c r="U39" s="162"/>
      <c r="V39" s="162"/>
      <c r="W39" s="162"/>
      <c r="X39" s="162"/>
      <c r="Y39" s="162"/>
      <c r="Z39" s="162"/>
    </row>
    <row r="40" spans="1:26" ht="13.5" customHeight="1" x14ac:dyDescent="0.25">
      <c r="A40" s="254">
        <v>7</v>
      </c>
      <c r="B40" s="187" t="s">
        <v>583</v>
      </c>
      <c r="C40" s="310">
        <v>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162"/>
      <c r="U40" s="162"/>
      <c r="V40" s="162"/>
      <c r="W40" s="162"/>
      <c r="X40" s="162"/>
      <c r="Y40" s="162"/>
      <c r="Z40" s="162"/>
    </row>
    <row r="41" spans="1:26" ht="13.5" customHeight="1" x14ac:dyDescent="0.25">
      <c r="A41" s="254">
        <v>8</v>
      </c>
      <c r="B41" s="214" t="s">
        <v>559</v>
      </c>
      <c r="C41" s="310">
        <v>1800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162"/>
      <c r="U41" s="162"/>
      <c r="V41" s="162"/>
      <c r="W41" s="162"/>
      <c r="X41" s="162"/>
      <c r="Y41" s="162"/>
      <c r="Z41" s="162"/>
    </row>
    <row r="42" spans="1:26" ht="13.5" customHeight="1" x14ac:dyDescent="0.25">
      <c r="A42" s="323">
        <v>9</v>
      </c>
      <c r="B42" s="324" t="s">
        <v>410</v>
      </c>
      <c r="C42" s="325">
        <v>70000</v>
      </c>
      <c r="D42" s="352"/>
      <c r="E42" s="352"/>
      <c r="F42" s="352"/>
      <c r="G42" s="352"/>
      <c r="H42" s="352"/>
      <c r="I42" s="68"/>
      <c r="J42" s="68"/>
      <c r="K42" s="352"/>
      <c r="L42" s="352"/>
      <c r="M42" s="352"/>
      <c r="N42" s="352"/>
      <c r="O42" s="352"/>
      <c r="P42" s="352"/>
      <c r="Q42" s="352"/>
      <c r="R42" s="352"/>
      <c r="S42" s="352"/>
      <c r="T42" s="355"/>
      <c r="U42" s="355"/>
      <c r="V42" s="355"/>
      <c r="W42" s="355"/>
      <c r="X42" s="355"/>
      <c r="Y42" s="355"/>
      <c r="Z42" s="355"/>
    </row>
    <row r="43" spans="1:26" ht="13.5" customHeight="1" x14ac:dyDescent="0.25">
      <c r="A43" s="254">
        <v>10</v>
      </c>
      <c r="B43" s="187" t="s">
        <v>661</v>
      </c>
      <c r="C43" s="310">
        <v>2886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162"/>
      <c r="U43" s="162"/>
      <c r="V43" s="162"/>
      <c r="W43" s="162"/>
      <c r="X43" s="162"/>
      <c r="Y43" s="162"/>
      <c r="Z43" s="162"/>
    </row>
    <row r="44" spans="1:26" ht="13.5" customHeight="1" x14ac:dyDescent="0.25">
      <c r="A44" s="261"/>
      <c r="B44" s="311" t="s">
        <v>35</v>
      </c>
      <c r="C44" s="312">
        <f>SUM(C36:C43)</f>
        <v>207686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162"/>
      <c r="U44" s="162"/>
      <c r="V44" s="162"/>
      <c r="W44" s="162"/>
      <c r="X44" s="162"/>
      <c r="Y44" s="162"/>
      <c r="Z44" s="162"/>
    </row>
    <row r="45" spans="1:26" ht="12" customHeight="1" x14ac:dyDescent="0.25">
      <c r="A45" s="249"/>
      <c r="B45" s="68"/>
      <c r="C45" s="68"/>
      <c r="D45" s="214"/>
      <c r="E45" s="68"/>
      <c r="F45" s="68"/>
      <c r="G45" s="21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162"/>
      <c r="U45" s="162"/>
      <c r="V45" s="162"/>
      <c r="W45" s="162"/>
      <c r="X45" s="162"/>
      <c r="Y45" s="162"/>
      <c r="Z45" s="162"/>
    </row>
    <row r="46" spans="1:26" ht="12" customHeight="1" x14ac:dyDescent="0.25">
      <c r="A46" s="261" t="s">
        <v>298</v>
      </c>
      <c r="B46" s="261" t="s">
        <v>560</v>
      </c>
      <c r="C46" s="261" t="s">
        <v>309</v>
      </c>
      <c r="D46" s="214"/>
      <c r="E46" s="68"/>
      <c r="F46" s="68"/>
      <c r="G46" s="21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162"/>
      <c r="U46" s="162"/>
      <c r="V46" s="162"/>
      <c r="W46" s="162"/>
      <c r="X46" s="162"/>
      <c r="Y46" s="162"/>
      <c r="Z46" s="162"/>
    </row>
    <row r="47" spans="1:26" ht="12" customHeight="1" x14ac:dyDescent="0.25">
      <c r="A47" s="254">
        <v>5</v>
      </c>
      <c r="B47" s="187" t="s">
        <v>532</v>
      </c>
      <c r="C47" s="310">
        <v>35490</v>
      </c>
      <c r="D47" s="214"/>
      <c r="E47" s="68"/>
      <c r="F47" s="68"/>
      <c r="G47" s="214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162"/>
      <c r="U47" s="162"/>
      <c r="V47" s="162"/>
      <c r="W47" s="162"/>
      <c r="X47" s="162"/>
      <c r="Y47" s="162"/>
      <c r="Z47" s="162"/>
    </row>
    <row r="48" spans="1:26" ht="12" customHeight="1" x14ac:dyDescent="0.25">
      <c r="A48" s="254">
        <v>6</v>
      </c>
      <c r="B48" s="187" t="s">
        <v>533</v>
      </c>
      <c r="C48" s="310">
        <v>5000</v>
      </c>
      <c r="D48" s="214"/>
      <c r="E48" s="68"/>
      <c r="F48" s="68"/>
      <c r="G48" s="214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162"/>
      <c r="U48" s="162"/>
      <c r="V48" s="162"/>
      <c r="W48" s="162"/>
      <c r="X48" s="162"/>
      <c r="Y48" s="162"/>
      <c r="Z48" s="162"/>
    </row>
    <row r="49" spans="1:26" ht="12" customHeight="1" x14ac:dyDescent="0.25">
      <c r="A49" s="254"/>
      <c r="B49" s="187"/>
      <c r="C49" s="310"/>
      <c r="D49" s="214"/>
      <c r="E49" s="214"/>
      <c r="F49" s="68"/>
      <c r="G49" s="214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162"/>
      <c r="U49" s="162"/>
      <c r="V49" s="162"/>
      <c r="W49" s="162"/>
      <c r="X49" s="162"/>
      <c r="Y49" s="162"/>
      <c r="Z49" s="162"/>
    </row>
    <row r="50" spans="1:26" ht="12" customHeight="1" x14ac:dyDescent="0.25">
      <c r="A50" s="254"/>
      <c r="B50" s="361"/>
      <c r="C50" s="310"/>
      <c r="D50" s="214"/>
      <c r="E50" s="214"/>
      <c r="F50" s="68"/>
      <c r="G50" s="214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162"/>
      <c r="U50" s="162"/>
      <c r="V50" s="162"/>
      <c r="W50" s="162"/>
      <c r="X50" s="162"/>
      <c r="Y50" s="162"/>
      <c r="Z50" s="162"/>
    </row>
    <row r="51" spans="1:26" ht="12" customHeight="1" x14ac:dyDescent="0.25">
      <c r="A51" s="254"/>
      <c r="B51" s="187"/>
      <c r="C51" s="310"/>
      <c r="D51" s="214"/>
      <c r="E51" s="214"/>
      <c r="F51" s="68"/>
      <c r="G51" s="214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162"/>
      <c r="U51" s="162"/>
      <c r="V51" s="162"/>
      <c r="W51" s="162"/>
      <c r="X51" s="162"/>
      <c r="Y51" s="162"/>
      <c r="Z51" s="162"/>
    </row>
    <row r="52" spans="1:26" ht="12" customHeight="1" x14ac:dyDescent="0.25">
      <c r="A52" s="261"/>
      <c r="B52" s="311" t="s">
        <v>35</v>
      </c>
      <c r="C52" s="312">
        <f>SUM(C47:C51)</f>
        <v>40490</v>
      </c>
      <c r="D52" s="214"/>
      <c r="E52" s="214"/>
      <c r="F52" s="68"/>
      <c r="G52" s="214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162"/>
      <c r="U52" s="162"/>
      <c r="V52" s="162"/>
      <c r="W52" s="162"/>
      <c r="X52" s="162"/>
      <c r="Y52" s="162"/>
      <c r="Z52" s="162"/>
    </row>
    <row r="53" spans="1:26" ht="12" customHeight="1" x14ac:dyDescent="0.25">
      <c r="A53" s="249"/>
      <c r="B53" s="68"/>
      <c r="C53" s="68"/>
      <c r="D53" s="214"/>
      <c r="E53" s="214"/>
      <c r="F53" s="68"/>
      <c r="G53" s="214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62"/>
      <c r="U53" s="162"/>
      <c r="V53" s="162"/>
      <c r="W53" s="162"/>
      <c r="X53" s="162"/>
      <c r="Y53" s="162"/>
      <c r="Z53" s="162"/>
    </row>
    <row r="54" spans="1:26" ht="12" customHeight="1" x14ac:dyDescent="0.25">
      <c r="A54" s="249"/>
      <c r="B54" s="68"/>
      <c r="C54" s="68"/>
      <c r="D54" s="214"/>
      <c r="E54" s="214"/>
      <c r="F54" s="68"/>
      <c r="G54" s="214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162"/>
      <c r="U54" s="162"/>
      <c r="V54" s="162"/>
      <c r="W54" s="162"/>
      <c r="X54" s="162"/>
      <c r="Y54" s="162"/>
      <c r="Z54" s="162"/>
    </row>
    <row r="55" spans="1:26" ht="12.75" customHeight="1" x14ac:dyDescent="0.25">
      <c r="A55" s="261" t="s">
        <v>298</v>
      </c>
      <c r="B55" s="261" t="s">
        <v>472</v>
      </c>
      <c r="C55" s="261" t="s">
        <v>309</v>
      </c>
      <c r="D55" s="214"/>
      <c r="E55" s="214"/>
      <c r="F55" s="68"/>
      <c r="G55" s="214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62"/>
      <c r="U55" s="162"/>
      <c r="V55" s="162"/>
      <c r="W55" s="162"/>
      <c r="X55" s="162"/>
      <c r="Y55" s="162"/>
      <c r="Z55" s="162"/>
    </row>
    <row r="56" spans="1:26" ht="12.75" customHeight="1" x14ac:dyDescent="0.25">
      <c r="A56" s="254">
        <v>1</v>
      </c>
      <c r="B56" s="187" t="s">
        <v>760</v>
      </c>
      <c r="C56" s="310">
        <v>61120</v>
      </c>
      <c r="D56" s="214"/>
      <c r="E56" s="214"/>
      <c r="F56" s="68"/>
      <c r="G56" s="214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162"/>
      <c r="U56" s="162"/>
      <c r="V56" s="162"/>
      <c r="W56" s="162"/>
      <c r="X56" s="162"/>
      <c r="Y56" s="162"/>
      <c r="Z56" s="162"/>
    </row>
    <row r="57" spans="1:26" ht="12.75" customHeight="1" x14ac:dyDescent="0.25">
      <c r="A57" s="254">
        <v>2</v>
      </c>
      <c r="B57" s="187" t="s">
        <v>761</v>
      </c>
      <c r="C57" s="310">
        <v>20000</v>
      </c>
      <c r="D57" s="214"/>
      <c r="E57" s="214"/>
      <c r="F57" s="68"/>
      <c r="G57" s="214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162"/>
      <c r="U57" s="162"/>
      <c r="V57" s="162"/>
      <c r="W57" s="162"/>
      <c r="X57" s="162"/>
      <c r="Y57" s="162"/>
      <c r="Z57" s="162"/>
    </row>
    <row r="58" spans="1:26" ht="12.75" customHeight="1" x14ac:dyDescent="0.25">
      <c r="A58" s="254">
        <v>3</v>
      </c>
      <c r="B58" s="187" t="s">
        <v>762</v>
      </c>
      <c r="C58" s="310">
        <v>11499</v>
      </c>
      <c r="D58" s="214"/>
      <c r="E58" s="214"/>
      <c r="F58" s="68"/>
      <c r="G58" s="214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162"/>
      <c r="U58" s="162"/>
      <c r="V58" s="162"/>
      <c r="W58" s="162"/>
      <c r="X58" s="162"/>
      <c r="Y58" s="162"/>
      <c r="Z58" s="162"/>
    </row>
    <row r="59" spans="1:26" ht="12.75" customHeight="1" x14ac:dyDescent="0.25">
      <c r="A59" s="254">
        <v>4</v>
      </c>
      <c r="B59" s="187"/>
      <c r="C59" s="310"/>
      <c r="D59" s="214"/>
      <c r="E59" s="214"/>
      <c r="F59" s="68"/>
      <c r="G59" s="214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162"/>
      <c r="U59" s="162"/>
      <c r="V59" s="162"/>
      <c r="W59" s="162"/>
      <c r="X59" s="162"/>
      <c r="Y59" s="162"/>
      <c r="Z59" s="162"/>
    </row>
    <row r="60" spans="1:26" ht="13.5" customHeight="1" x14ac:dyDescent="0.25">
      <c r="A60" s="254">
        <v>5</v>
      </c>
      <c r="B60" s="187"/>
      <c r="C60" s="310"/>
      <c r="D60" s="214"/>
      <c r="E60" s="214"/>
      <c r="F60" s="68"/>
      <c r="G60" s="214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162"/>
      <c r="U60" s="162"/>
      <c r="V60" s="162"/>
      <c r="W60" s="162"/>
      <c r="X60" s="162"/>
      <c r="Y60" s="162"/>
      <c r="Z60" s="162"/>
    </row>
    <row r="61" spans="1:26" ht="13.5" customHeight="1" x14ac:dyDescent="0.25">
      <c r="A61" s="254">
        <v>6</v>
      </c>
      <c r="B61" s="187"/>
      <c r="C61" s="310"/>
      <c r="D61" s="214"/>
      <c r="E61" s="214"/>
      <c r="F61" s="68"/>
      <c r="G61" s="214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62"/>
      <c r="U61" s="162"/>
      <c r="V61" s="162"/>
      <c r="W61" s="162"/>
      <c r="X61" s="162"/>
      <c r="Y61" s="162"/>
      <c r="Z61" s="162"/>
    </row>
    <row r="62" spans="1:26" ht="13.5" customHeight="1" x14ac:dyDescent="0.25">
      <c r="A62" s="261"/>
      <c r="B62" s="311" t="s">
        <v>35</v>
      </c>
      <c r="C62" s="312">
        <f>SUM(C56:C61)</f>
        <v>92619</v>
      </c>
      <c r="D62" s="214"/>
      <c r="E62" s="214"/>
      <c r="F62" s="68"/>
      <c r="G62" s="214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162"/>
      <c r="U62" s="162"/>
      <c r="V62" s="162"/>
      <c r="W62" s="162"/>
      <c r="X62" s="162"/>
      <c r="Y62" s="162"/>
      <c r="Z62" s="162"/>
    </row>
    <row r="63" spans="1:26" ht="13.5" customHeight="1" x14ac:dyDescent="0.25">
      <c r="A63" s="249"/>
      <c r="B63" s="68"/>
      <c r="C63" s="68"/>
      <c r="D63" s="214"/>
      <c r="E63" s="214"/>
      <c r="F63" s="68"/>
      <c r="G63" s="214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162"/>
      <c r="U63" s="162"/>
      <c r="V63" s="162"/>
      <c r="W63" s="162"/>
      <c r="X63" s="162"/>
      <c r="Y63" s="162"/>
      <c r="Z63" s="162"/>
    </row>
    <row r="64" spans="1:26" ht="13.5" customHeight="1" x14ac:dyDescent="0.25">
      <c r="A64" s="261" t="s">
        <v>298</v>
      </c>
      <c r="B64" s="261" t="s">
        <v>122</v>
      </c>
      <c r="C64" s="261" t="s">
        <v>309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162"/>
      <c r="U64" s="162"/>
      <c r="V64" s="162"/>
      <c r="W64" s="162"/>
      <c r="X64" s="162"/>
      <c r="Y64" s="162"/>
      <c r="Z64" s="162"/>
    </row>
    <row r="65" spans="1:26" ht="13.5" customHeight="1" x14ac:dyDescent="0.25">
      <c r="A65" s="323">
        <v>1</v>
      </c>
      <c r="B65" s="324" t="s">
        <v>722</v>
      </c>
      <c r="C65" s="325">
        <v>49000</v>
      </c>
      <c r="D65" s="352"/>
      <c r="E65" s="352"/>
      <c r="F65" s="365"/>
      <c r="G65" s="352"/>
      <c r="H65" s="352"/>
      <c r="I65" s="68"/>
      <c r="J65" s="68"/>
      <c r="K65" s="352"/>
      <c r="L65" s="352"/>
      <c r="M65" s="352"/>
      <c r="N65" s="352"/>
      <c r="O65" s="352"/>
      <c r="P65" s="352"/>
      <c r="Q65" s="352"/>
      <c r="R65" s="352"/>
      <c r="S65" s="352"/>
      <c r="T65" s="355"/>
      <c r="U65" s="355"/>
      <c r="V65" s="355"/>
      <c r="W65" s="355"/>
      <c r="X65" s="355"/>
      <c r="Y65" s="355"/>
      <c r="Z65" s="355"/>
    </row>
    <row r="66" spans="1:26" ht="13.5" customHeight="1" x14ac:dyDescent="0.25">
      <c r="A66" s="254">
        <v>2</v>
      </c>
      <c r="B66" s="187" t="s">
        <v>763</v>
      </c>
      <c r="C66" s="310">
        <v>10500</v>
      </c>
      <c r="D66" s="330"/>
      <c r="E66" s="330"/>
      <c r="F66" s="68">
        <v>102085</v>
      </c>
      <c r="G66" s="329"/>
      <c r="H66" s="329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62"/>
      <c r="U66" s="162"/>
      <c r="V66" s="162"/>
      <c r="W66" s="162"/>
      <c r="X66" s="162"/>
      <c r="Y66" s="162"/>
      <c r="Z66" s="162"/>
    </row>
    <row r="67" spans="1:26" ht="13.5" customHeight="1" x14ac:dyDescent="0.25">
      <c r="A67" s="254">
        <v>3</v>
      </c>
      <c r="B67" s="187" t="s">
        <v>743</v>
      </c>
      <c r="C67" s="310">
        <v>81085</v>
      </c>
      <c r="D67" s="330"/>
      <c r="E67" s="330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62"/>
      <c r="U67" s="162"/>
      <c r="V67" s="162"/>
      <c r="W67" s="162"/>
      <c r="X67" s="162"/>
      <c r="Y67" s="162"/>
      <c r="Z67" s="162"/>
    </row>
    <row r="68" spans="1:26" ht="13.5" customHeight="1" x14ac:dyDescent="0.25">
      <c r="A68" s="254">
        <v>4</v>
      </c>
      <c r="B68" s="187"/>
      <c r="C68" s="310"/>
      <c r="D68" s="339"/>
      <c r="E68" s="339"/>
      <c r="F68" s="68">
        <v>6000</v>
      </c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62"/>
      <c r="U68" s="162"/>
      <c r="V68" s="162"/>
      <c r="W68" s="162"/>
      <c r="X68" s="162"/>
      <c r="Y68" s="162"/>
      <c r="Z68" s="162"/>
    </row>
    <row r="69" spans="1:26" ht="13.5" customHeight="1" x14ac:dyDescent="0.25">
      <c r="A69" s="254">
        <v>5</v>
      </c>
      <c r="B69" s="187"/>
      <c r="C69" s="310"/>
      <c r="D69" s="339"/>
      <c r="E69" s="339"/>
      <c r="F69" s="68">
        <v>2886</v>
      </c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162"/>
      <c r="U69" s="162"/>
      <c r="V69" s="162"/>
      <c r="W69" s="162"/>
      <c r="X69" s="162"/>
      <c r="Y69" s="162"/>
      <c r="Z69" s="162"/>
    </row>
    <row r="70" spans="1:26" ht="13.5" customHeight="1" x14ac:dyDescent="0.25">
      <c r="A70" s="254"/>
      <c r="B70" s="187"/>
      <c r="C70" s="310"/>
      <c r="D70" s="68"/>
      <c r="E70" s="68"/>
      <c r="F70" s="68">
        <v>11499</v>
      </c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162"/>
      <c r="U70" s="162"/>
      <c r="V70" s="162"/>
      <c r="W70" s="162"/>
      <c r="X70" s="162"/>
      <c r="Y70" s="162"/>
      <c r="Z70" s="162"/>
    </row>
    <row r="71" spans="1:26" ht="13.5" customHeight="1" x14ac:dyDescent="0.25">
      <c r="A71" s="261"/>
      <c r="B71" s="311" t="s">
        <v>35</v>
      </c>
      <c r="C71" s="312">
        <f>SUM(C65:C70)</f>
        <v>140585</v>
      </c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162"/>
      <c r="U71" s="162"/>
      <c r="V71" s="162"/>
      <c r="W71" s="162"/>
      <c r="X71" s="162"/>
      <c r="Y71" s="162"/>
      <c r="Z71" s="162"/>
    </row>
    <row r="72" spans="1:26" ht="13.5" customHeight="1" x14ac:dyDescent="0.25">
      <c r="A72" s="249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162"/>
      <c r="U72" s="162"/>
      <c r="V72" s="162"/>
      <c r="W72" s="162"/>
      <c r="X72" s="162"/>
      <c r="Y72" s="162"/>
      <c r="Z72" s="162"/>
    </row>
    <row r="73" spans="1:26" ht="13.5" customHeight="1" x14ac:dyDescent="0.25">
      <c r="A73" s="261" t="s">
        <v>298</v>
      </c>
      <c r="B73" s="313" t="s">
        <v>349</v>
      </c>
      <c r="C73" s="261" t="s">
        <v>309</v>
      </c>
      <c r="D73" s="68"/>
      <c r="E73" s="68"/>
      <c r="F73" s="68">
        <f>F68+F69+F70+F71</f>
        <v>20385</v>
      </c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62"/>
      <c r="U73" s="162"/>
      <c r="V73" s="162"/>
      <c r="W73" s="162"/>
      <c r="X73" s="162"/>
      <c r="Y73" s="162"/>
      <c r="Z73" s="162"/>
    </row>
    <row r="74" spans="1:26" ht="13.5" customHeight="1" x14ac:dyDescent="0.25">
      <c r="A74" s="254">
        <v>1</v>
      </c>
      <c r="B74" s="187" t="s">
        <v>764</v>
      </c>
      <c r="C74" s="195">
        <v>20307.171901041507</v>
      </c>
      <c r="D74" s="68"/>
      <c r="E74" s="68"/>
      <c r="F74" s="250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62"/>
      <c r="U74" s="162"/>
      <c r="V74" s="162"/>
      <c r="W74" s="162"/>
      <c r="X74" s="162"/>
      <c r="Y74" s="162"/>
      <c r="Z74" s="162"/>
    </row>
    <row r="75" spans="1:26" ht="13.5" customHeight="1" x14ac:dyDescent="0.25">
      <c r="A75" s="254">
        <v>2</v>
      </c>
      <c r="B75" s="187" t="s">
        <v>765</v>
      </c>
      <c r="C75" s="363">
        <v>1139676.7505967466</v>
      </c>
      <c r="D75" s="68"/>
      <c r="E75" s="68"/>
      <c r="F75" s="68">
        <f>F66-F73</f>
        <v>81700</v>
      </c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62"/>
      <c r="U75" s="162"/>
      <c r="V75" s="162"/>
      <c r="W75" s="162"/>
      <c r="X75" s="162"/>
      <c r="Y75" s="162"/>
      <c r="Z75" s="162"/>
    </row>
    <row r="76" spans="1:26" ht="13.5" customHeight="1" x14ac:dyDescent="0.25">
      <c r="A76" s="261"/>
      <c r="B76" s="311" t="s">
        <v>35</v>
      </c>
      <c r="C76" s="312">
        <f>SUM(C74:C75)</f>
        <v>1159983.922497788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62"/>
      <c r="U76" s="162"/>
      <c r="V76" s="162"/>
      <c r="W76" s="162"/>
      <c r="X76" s="162"/>
      <c r="Y76" s="162"/>
      <c r="Z76" s="162"/>
    </row>
    <row r="77" spans="1:26" ht="13.5" customHeight="1" x14ac:dyDescent="0.25">
      <c r="A77" s="249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62"/>
      <c r="U77" s="162"/>
      <c r="V77" s="162"/>
      <c r="W77" s="162"/>
      <c r="X77" s="162"/>
      <c r="Y77" s="162"/>
      <c r="Z77" s="162"/>
    </row>
    <row r="78" spans="1:26" ht="13.5" customHeight="1" x14ac:dyDescent="0.25">
      <c r="A78" s="261" t="s">
        <v>298</v>
      </c>
      <c r="B78" s="328" t="s">
        <v>274</v>
      </c>
      <c r="C78" s="261" t="s">
        <v>309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162"/>
      <c r="U78" s="162"/>
      <c r="V78" s="162"/>
      <c r="W78" s="162"/>
      <c r="X78" s="162"/>
      <c r="Y78" s="162"/>
      <c r="Z78" s="162"/>
    </row>
    <row r="79" spans="1:26" ht="13.5" customHeight="1" x14ac:dyDescent="0.3">
      <c r="A79" s="254">
        <v>1</v>
      </c>
      <c r="B79" s="187" t="s">
        <v>517</v>
      </c>
      <c r="C79" s="322">
        <v>1100000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162"/>
      <c r="U79" s="162"/>
      <c r="V79" s="162"/>
      <c r="W79" s="162"/>
      <c r="X79" s="162"/>
      <c r="Y79" s="162"/>
      <c r="Z79" s="162"/>
    </row>
    <row r="80" spans="1:26" ht="13.5" customHeight="1" x14ac:dyDescent="0.3">
      <c r="A80" s="254">
        <v>2</v>
      </c>
      <c r="B80" s="187" t="s">
        <v>631</v>
      </c>
      <c r="C80" s="322">
        <f>88294.17*12</f>
        <v>1059530.04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162"/>
      <c r="U80" s="162"/>
      <c r="V80" s="162"/>
      <c r="W80" s="162"/>
      <c r="X80" s="162"/>
      <c r="Y80" s="162"/>
      <c r="Z80" s="162"/>
    </row>
    <row r="81" spans="1:26" ht="13.5" customHeight="1" x14ac:dyDescent="0.25">
      <c r="A81" s="261"/>
      <c r="B81" s="311" t="s">
        <v>766</v>
      </c>
      <c r="C81" s="312">
        <v>55000</v>
      </c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162"/>
      <c r="U81" s="162"/>
      <c r="V81" s="162"/>
      <c r="W81" s="162"/>
      <c r="X81" s="162"/>
      <c r="Y81" s="162"/>
      <c r="Z81" s="162"/>
    </row>
    <row r="82" spans="1:26" ht="13.5" customHeight="1" x14ac:dyDescent="0.25">
      <c r="A82" s="254"/>
      <c r="B82" s="311" t="s">
        <v>767</v>
      </c>
      <c r="C82" s="347">
        <v>88294.17</v>
      </c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162"/>
      <c r="U82" s="162"/>
      <c r="V82" s="162"/>
      <c r="W82" s="162"/>
      <c r="X82" s="162"/>
      <c r="Y82" s="162"/>
      <c r="Z82" s="162"/>
    </row>
    <row r="83" spans="1:26" ht="13.5" customHeight="1" x14ac:dyDescent="0.25">
      <c r="A83" s="254"/>
      <c r="B83" s="187"/>
      <c r="C83" s="327">
        <f>SUM(C81:C82)</f>
        <v>143294.16999999998</v>
      </c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162"/>
      <c r="U83" s="162"/>
      <c r="V83" s="162"/>
      <c r="W83" s="162"/>
      <c r="X83" s="162"/>
      <c r="Y83" s="162"/>
      <c r="Z83" s="162"/>
    </row>
    <row r="84" spans="1:26" ht="13.5" customHeight="1" x14ac:dyDescent="0.25">
      <c r="A84" s="249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162"/>
      <c r="U84" s="162"/>
      <c r="V84" s="162"/>
      <c r="W84" s="162"/>
      <c r="X84" s="162"/>
      <c r="Y84" s="162"/>
      <c r="Z84" s="162"/>
    </row>
    <row r="85" spans="1:26" ht="13.5" customHeight="1" x14ac:dyDescent="0.25">
      <c r="A85" s="249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162"/>
      <c r="U85" s="162"/>
      <c r="V85" s="162"/>
      <c r="W85" s="162"/>
      <c r="X85" s="162"/>
      <c r="Y85" s="162"/>
      <c r="Z85" s="162"/>
    </row>
    <row r="86" spans="1:26" ht="13.5" customHeight="1" x14ac:dyDescent="0.25">
      <c r="A86" s="249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162"/>
      <c r="U86" s="162"/>
      <c r="V86" s="162"/>
      <c r="W86" s="162"/>
      <c r="X86" s="162"/>
      <c r="Y86" s="162"/>
      <c r="Z86" s="162"/>
    </row>
    <row r="87" spans="1:26" ht="13.5" customHeight="1" x14ac:dyDescent="0.25">
      <c r="A87" s="249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162"/>
      <c r="U87" s="162"/>
      <c r="V87" s="162"/>
      <c r="W87" s="162"/>
      <c r="X87" s="162"/>
      <c r="Y87" s="162"/>
      <c r="Z87" s="162"/>
    </row>
    <row r="88" spans="1:26" ht="13.5" customHeight="1" x14ac:dyDescent="0.25">
      <c r="A88" s="249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162"/>
      <c r="U88" s="162"/>
      <c r="V88" s="162"/>
      <c r="W88" s="162"/>
      <c r="X88" s="162"/>
      <c r="Y88" s="162"/>
      <c r="Z88" s="162"/>
    </row>
    <row r="89" spans="1:26" ht="13.5" customHeight="1" x14ac:dyDescent="0.25">
      <c r="A89" s="249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162"/>
      <c r="U89" s="162"/>
      <c r="V89" s="162"/>
      <c r="W89" s="162"/>
      <c r="X89" s="162"/>
      <c r="Y89" s="162"/>
      <c r="Z89" s="162"/>
    </row>
    <row r="90" spans="1:26" ht="13.5" customHeight="1" x14ac:dyDescent="0.25">
      <c r="A90" s="24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162"/>
      <c r="U90" s="162"/>
      <c r="V90" s="162"/>
      <c r="W90" s="162"/>
      <c r="X90" s="162"/>
      <c r="Y90" s="162"/>
      <c r="Z90" s="162"/>
    </row>
    <row r="91" spans="1:26" ht="13.5" customHeight="1" x14ac:dyDescent="0.25">
      <c r="A91" s="249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162"/>
      <c r="U91" s="162"/>
      <c r="V91" s="162"/>
      <c r="W91" s="162"/>
      <c r="X91" s="162"/>
      <c r="Y91" s="162"/>
      <c r="Z91" s="162"/>
    </row>
    <row r="92" spans="1:26" ht="13.5" customHeight="1" x14ac:dyDescent="0.25">
      <c r="A92" s="249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62"/>
      <c r="U92" s="162"/>
      <c r="V92" s="162"/>
      <c r="W92" s="162"/>
      <c r="X92" s="162"/>
      <c r="Y92" s="162"/>
      <c r="Z92" s="162"/>
    </row>
    <row r="93" spans="1:26" ht="13.5" customHeight="1" x14ac:dyDescent="0.25">
      <c r="A93" s="249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62"/>
      <c r="U93" s="162"/>
      <c r="V93" s="162"/>
      <c r="W93" s="162"/>
      <c r="X93" s="162"/>
      <c r="Y93" s="162"/>
      <c r="Z93" s="162"/>
    </row>
    <row r="94" spans="1:26" ht="13.5" customHeight="1" x14ac:dyDescent="0.25">
      <c r="A94" s="249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62"/>
      <c r="U94" s="162"/>
      <c r="V94" s="162"/>
      <c r="W94" s="162"/>
      <c r="X94" s="162"/>
      <c r="Y94" s="162"/>
      <c r="Z94" s="162"/>
    </row>
    <row r="95" spans="1:26" ht="13.5" customHeight="1" x14ac:dyDescent="0.25">
      <c r="A95" s="249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162"/>
      <c r="U95" s="162"/>
      <c r="V95" s="162"/>
      <c r="W95" s="162"/>
      <c r="X95" s="162"/>
      <c r="Y95" s="162"/>
      <c r="Z95" s="162"/>
    </row>
    <row r="96" spans="1:26" ht="13.5" customHeight="1" x14ac:dyDescent="0.25">
      <c r="A96" s="249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162"/>
      <c r="U96" s="162"/>
      <c r="V96" s="162"/>
      <c r="W96" s="162"/>
      <c r="X96" s="162"/>
      <c r="Y96" s="162"/>
      <c r="Z96" s="162"/>
    </row>
    <row r="97" spans="1:26" ht="13.5" customHeight="1" x14ac:dyDescent="0.25">
      <c r="A97" s="249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162"/>
      <c r="U97" s="162"/>
      <c r="V97" s="162"/>
      <c r="W97" s="162"/>
      <c r="X97" s="162"/>
      <c r="Y97" s="162"/>
      <c r="Z97" s="162"/>
    </row>
    <row r="98" spans="1:26" ht="13.5" customHeight="1" x14ac:dyDescent="0.25">
      <c r="A98" s="249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162"/>
      <c r="U98" s="162"/>
      <c r="V98" s="162"/>
      <c r="W98" s="162"/>
      <c r="X98" s="162"/>
      <c r="Y98" s="162"/>
      <c r="Z98" s="162"/>
    </row>
    <row r="99" spans="1:26" ht="13.5" customHeight="1" x14ac:dyDescent="0.25">
      <c r="A99" s="249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162"/>
      <c r="U99" s="162"/>
      <c r="V99" s="162"/>
      <c r="W99" s="162"/>
      <c r="X99" s="162"/>
      <c r="Y99" s="162"/>
      <c r="Z99" s="162"/>
    </row>
    <row r="100" spans="1:26" ht="13.5" customHeight="1" x14ac:dyDescent="0.25">
      <c r="A100" s="249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162"/>
      <c r="U100" s="162"/>
      <c r="V100" s="162"/>
      <c r="W100" s="162"/>
      <c r="X100" s="162"/>
      <c r="Y100" s="162"/>
      <c r="Z100" s="162"/>
    </row>
    <row r="101" spans="1:26" ht="13.5" customHeight="1" x14ac:dyDescent="0.25">
      <c r="A101" s="249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162"/>
      <c r="U101" s="162"/>
      <c r="V101" s="162"/>
      <c r="W101" s="162"/>
      <c r="X101" s="162"/>
      <c r="Y101" s="162"/>
      <c r="Z101" s="162"/>
    </row>
    <row r="102" spans="1:26" ht="13.5" customHeight="1" x14ac:dyDescent="0.25">
      <c r="A102" s="249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162"/>
      <c r="U102" s="162"/>
      <c r="V102" s="162"/>
      <c r="W102" s="162"/>
      <c r="X102" s="162"/>
      <c r="Y102" s="162"/>
      <c r="Z102" s="162"/>
    </row>
    <row r="103" spans="1:26" ht="13.5" customHeight="1" x14ac:dyDescent="0.25">
      <c r="A103" s="249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162"/>
      <c r="U103" s="162"/>
      <c r="V103" s="162"/>
      <c r="W103" s="162"/>
      <c r="X103" s="162"/>
      <c r="Y103" s="162"/>
      <c r="Z103" s="162"/>
    </row>
    <row r="104" spans="1:26" ht="13.5" customHeight="1" x14ac:dyDescent="0.25">
      <c r="A104" s="249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162"/>
      <c r="U104" s="162"/>
      <c r="V104" s="162"/>
      <c r="W104" s="162"/>
      <c r="X104" s="162"/>
      <c r="Y104" s="162"/>
      <c r="Z104" s="162"/>
    </row>
    <row r="105" spans="1:26" ht="13.5" customHeight="1" x14ac:dyDescent="0.25">
      <c r="A105" s="249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162"/>
      <c r="U105" s="162"/>
      <c r="V105" s="162"/>
      <c r="W105" s="162"/>
      <c r="X105" s="162"/>
      <c r="Y105" s="162"/>
      <c r="Z105" s="162"/>
    </row>
    <row r="106" spans="1:26" ht="13.5" customHeight="1" x14ac:dyDescent="0.25">
      <c r="A106" s="249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162"/>
      <c r="U106" s="162"/>
      <c r="V106" s="162"/>
      <c r="W106" s="162"/>
      <c r="X106" s="162"/>
      <c r="Y106" s="162"/>
      <c r="Z106" s="162"/>
    </row>
    <row r="107" spans="1:26" ht="13.5" customHeight="1" x14ac:dyDescent="0.25">
      <c r="A107" s="249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162"/>
      <c r="U107" s="162"/>
      <c r="V107" s="162"/>
      <c r="W107" s="162"/>
      <c r="X107" s="162"/>
      <c r="Y107" s="162"/>
      <c r="Z107" s="162"/>
    </row>
    <row r="108" spans="1:26" ht="13.5" customHeight="1" x14ac:dyDescent="0.25">
      <c r="A108" s="249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162"/>
      <c r="U108" s="162"/>
      <c r="V108" s="162"/>
      <c r="W108" s="162"/>
      <c r="X108" s="162"/>
      <c r="Y108" s="162"/>
      <c r="Z108" s="162"/>
    </row>
    <row r="109" spans="1:26" ht="13.5" customHeight="1" x14ac:dyDescent="0.25">
      <c r="A109" s="249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162"/>
      <c r="U109" s="162"/>
      <c r="V109" s="162"/>
      <c r="W109" s="162"/>
      <c r="X109" s="162"/>
      <c r="Y109" s="162"/>
      <c r="Z109" s="162"/>
    </row>
    <row r="110" spans="1:26" ht="13.5" customHeight="1" x14ac:dyDescent="0.25">
      <c r="A110" s="249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162"/>
      <c r="U110" s="162"/>
      <c r="V110" s="162"/>
      <c r="W110" s="162"/>
      <c r="X110" s="162"/>
      <c r="Y110" s="162"/>
      <c r="Z110" s="162"/>
    </row>
    <row r="111" spans="1:26" ht="13.5" customHeight="1" x14ac:dyDescent="0.25">
      <c r="A111" s="249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162"/>
      <c r="U111" s="162"/>
      <c r="V111" s="162"/>
      <c r="W111" s="162"/>
      <c r="X111" s="162"/>
      <c r="Y111" s="162"/>
      <c r="Z111" s="162"/>
    </row>
    <row r="112" spans="1:26" ht="13.5" customHeight="1" x14ac:dyDescent="0.25">
      <c r="A112" s="249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62"/>
      <c r="U112" s="162"/>
      <c r="V112" s="162"/>
      <c r="W112" s="162"/>
      <c r="X112" s="162"/>
      <c r="Y112" s="162"/>
      <c r="Z112" s="162"/>
    </row>
    <row r="113" spans="1:26" ht="13.5" customHeight="1" x14ac:dyDescent="0.25">
      <c r="A113" s="249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162"/>
      <c r="U113" s="162"/>
      <c r="V113" s="162"/>
      <c r="W113" s="162"/>
      <c r="X113" s="162"/>
      <c r="Y113" s="162"/>
      <c r="Z113" s="162"/>
    </row>
    <row r="114" spans="1:26" ht="13.5" customHeight="1" x14ac:dyDescent="0.25">
      <c r="A114" s="249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162"/>
      <c r="U114" s="162"/>
      <c r="V114" s="162"/>
      <c r="W114" s="162"/>
      <c r="X114" s="162"/>
      <c r="Y114" s="162"/>
      <c r="Z114" s="162"/>
    </row>
    <row r="115" spans="1:26" ht="13.5" customHeight="1" x14ac:dyDescent="0.25">
      <c r="A115" s="249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162"/>
      <c r="U115" s="162"/>
      <c r="V115" s="162"/>
      <c r="W115" s="162"/>
      <c r="X115" s="162"/>
      <c r="Y115" s="162"/>
      <c r="Z115" s="162"/>
    </row>
    <row r="116" spans="1:26" ht="13.5" customHeight="1" x14ac:dyDescent="0.25">
      <c r="A116" s="249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162"/>
      <c r="U116" s="162"/>
      <c r="V116" s="162"/>
      <c r="W116" s="162"/>
      <c r="X116" s="162"/>
      <c r="Y116" s="162"/>
      <c r="Z116" s="162"/>
    </row>
    <row r="117" spans="1:26" ht="13.5" customHeight="1" x14ac:dyDescent="0.25">
      <c r="A117" s="249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162"/>
      <c r="U117" s="162"/>
      <c r="V117" s="162"/>
      <c r="W117" s="162"/>
      <c r="X117" s="162"/>
      <c r="Y117" s="162"/>
      <c r="Z117" s="162"/>
    </row>
    <row r="118" spans="1:26" ht="13.5" customHeight="1" x14ac:dyDescent="0.25">
      <c r="A118" s="249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162"/>
      <c r="U118" s="162"/>
      <c r="V118" s="162"/>
      <c r="W118" s="162"/>
      <c r="X118" s="162"/>
      <c r="Y118" s="162"/>
      <c r="Z118" s="162"/>
    </row>
    <row r="119" spans="1:26" ht="13.5" customHeight="1" x14ac:dyDescent="0.25">
      <c r="A119" s="249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162"/>
      <c r="U119" s="162"/>
      <c r="V119" s="162"/>
      <c r="W119" s="162"/>
      <c r="X119" s="162"/>
      <c r="Y119" s="162"/>
      <c r="Z119" s="162"/>
    </row>
    <row r="120" spans="1:26" ht="13.5" customHeight="1" x14ac:dyDescent="0.25">
      <c r="A120" s="249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162"/>
      <c r="U120" s="162"/>
      <c r="V120" s="162"/>
      <c r="W120" s="162"/>
      <c r="X120" s="162"/>
      <c r="Y120" s="162"/>
      <c r="Z120" s="162"/>
    </row>
    <row r="121" spans="1:26" ht="13.5" customHeight="1" x14ac:dyDescent="0.25">
      <c r="A121" s="249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162"/>
      <c r="U121" s="162"/>
      <c r="V121" s="162"/>
      <c r="W121" s="162"/>
      <c r="X121" s="162"/>
      <c r="Y121" s="162"/>
      <c r="Z121" s="162"/>
    </row>
    <row r="122" spans="1:26" ht="13.5" customHeight="1" x14ac:dyDescent="0.25">
      <c r="A122" s="249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162"/>
      <c r="U122" s="162"/>
      <c r="V122" s="162"/>
      <c r="W122" s="162"/>
      <c r="X122" s="162"/>
      <c r="Y122" s="162"/>
      <c r="Z122" s="162"/>
    </row>
    <row r="123" spans="1:26" ht="13.5" customHeight="1" x14ac:dyDescent="0.25">
      <c r="A123" s="249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62"/>
      <c r="U123" s="162"/>
      <c r="V123" s="162"/>
      <c r="W123" s="162"/>
      <c r="X123" s="162"/>
      <c r="Y123" s="162"/>
      <c r="Z123" s="162"/>
    </row>
    <row r="124" spans="1:26" ht="13.5" customHeight="1" x14ac:dyDescent="0.25">
      <c r="A124" s="249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62"/>
      <c r="U124" s="162"/>
      <c r="V124" s="162"/>
      <c r="W124" s="162"/>
      <c r="X124" s="162"/>
      <c r="Y124" s="162"/>
      <c r="Z124" s="162"/>
    </row>
    <row r="125" spans="1:26" ht="13.5" customHeight="1" x14ac:dyDescent="0.25">
      <c r="A125" s="249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62"/>
      <c r="U125" s="162"/>
      <c r="V125" s="162"/>
      <c r="W125" s="162"/>
      <c r="X125" s="162"/>
      <c r="Y125" s="162"/>
      <c r="Z125" s="162"/>
    </row>
    <row r="126" spans="1:26" ht="13.5" customHeight="1" x14ac:dyDescent="0.25">
      <c r="A126" s="249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62"/>
      <c r="U126" s="162"/>
      <c r="V126" s="162"/>
      <c r="W126" s="162"/>
      <c r="X126" s="162"/>
      <c r="Y126" s="162"/>
      <c r="Z126" s="162"/>
    </row>
    <row r="127" spans="1:26" ht="13.5" customHeight="1" x14ac:dyDescent="0.25">
      <c r="A127" s="249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162"/>
      <c r="U127" s="162"/>
      <c r="V127" s="162"/>
      <c r="W127" s="162"/>
      <c r="X127" s="162"/>
      <c r="Y127" s="162"/>
      <c r="Z127" s="162"/>
    </row>
    <row r="128" spans="1:26" ht="13.5" customHeight="1" x14ac:dyDescent="0.25">
      <c r="A128" s="249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162"/>
      <c r="U128" s="162"/>
      <c r="V128" s="162"/>
      <c r="W128" s="162"/>
      <c r="X128" s="162"/>
      <c r="Y128" s="162"/>
      <c r="Z128" s="162"/>
    </row>
    <row r="129" spans="1:26" ht="13.5" customHeight="1" x14ac:dyDescent="0.25">
      <c r="A129" s="249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162"/>
      <c r="U129" s="162"/>
      <c r="V129" s="162"/>
      <c r="W129" s="162"/>
      <c r="X129" s="162"/>
      <c r="Y129" s="162"/>
      <c r="Z129" s="162"/>
    </row>
    <row r="130" spans="1:26" ht="13.5" customHeight="1" x14ac:dyDescent="0.25">
      <c r="A130" s="24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162"/>
      <c r="U130" s="162"/>
      <c r="V130" s="162"/>
      <c r="W130" s="162"/>
      <c r="X130" s="162"/>
      <c r="Y130" s="162"/>
      <c r="Z130" s="162"/>
    </row>
    <row r="131" spans="1:26" ht="13.5" customHeight="1" x14ac:dyDescent="0.25">
      <c r="A131" s="249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62"/>
      <c r="U131" s="162"/>
      <c r="V131" s="162"/>
      <c r="W131" s="162"/>
      <c r="X131" s="162"/>
      <c r="Y131" s="162"/>
      <c r="Z131" s="162"/>
    </row>
    <row r="132" spans="1:26" ht="13.5" customHeight="1" x14ac:dyDescent="0.25">
      <c r="A132" s="249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62"/>
      <c r="U132" s="162"/>
      <c r="V132" s="162"/>
      <c r="W132" s="162"/>
      <c r="X132" s="162"/>
      <c r="Y132" s="162"/>
      <c r="Z132" s="162"/>
    </row>
    <row r="133" spans="1:26" ht="13.5" customHeight="1" x14ac:dyDescent="0.25">
      <c r="A133" s="249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62"/>
      <c r="U133" s="162"/>
      <c r="V133" s="162"/>
      <c r="W133" s="162"/>
      <c r="X133" s="162"/>
      <c r="Y133" s="162"/>
      <c r="Z133" s="162"/>
    </row>
    <row r="134" spans="1:26" ht="13.5" customHeight="1" x14ac:dyDescent="0.25">
      <c r="A134" s="249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62"/>
      <c r="U134" s="162"/>
      <c r="V134" s="162"/>
      <c r="W134" s="162"/>
      <c r="X134" s="162"/>
      <c r="Y134" s="162"/>
      <c r="Z134" s="162"/>
    </row>
    <row r="135" spans="1:26" ht="13.5" customHeight="1" x14ac:dyDescent="0.25">
      <c r="A135" s="249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62"/>
      <c r="U135" s="162"/>
      <c r="V135" s="162"/>
      <c r="W135" s="162"/>
      <c r="X135" s="162"/>
      <c r="Y135" s="162"/>
      <c r="Z135" s="162"/>
    </row>
    <row r="136" spans="1:26" ht="13.5" customHeight="1" x14ac:dyDescent="0.25">
      <c r="A136" s="249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62"/>
      <c r="U136" s="162"/>
      <c r="V136" s="162"/>
      <c r="W136" s="162"/>
      <c r="X136" s="162"/>
      <c r="Y136" s="162"/>
      <c r="Z136" s="162"/>
    </row>
    <row r="137" spans="1:26" ht="13.5" customHeight="1" x14ac:dyDescent="0.25">
      <c r="A137" s="249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62"/>
      <c r="U137" s="162"/>
      <c r="V137" s="162"/>
      <c r="W137" s="162"/>
      <c r="X137" s="162"/>
      <c r="Y137" s="162"/>
      <c r="Z137" s="162"/>
    </row>
    <row r="138" spans="1:26" ht="13.5" customHeight="1" x14ac:dyDescent="0.25">
      <c r="A138" s="249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62"/>
      <c r="U138" s="162"/>
      <c r="V138" s="162"/>
      <c r="W138" s="162"/>
      <c r="X138" s="162"/>
      <c r="Y138" s="162"/>
      <c r="Z138" s="162"/>
    </row>
    <row r="139" spans="1:26" ht="13.5" customHeight="1" x14ac:dyDescent="0.25">
      <c r="A139" s="249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62"/>
      <c r="U139" s="162"/>
      <c r="V139" s="162"/>
      <c r="W139" s="162"/>
      <c r="X139" s="162"/>
      <c r="Y139" s="162"/>
      <c r="Z139" s="162"/>
    </row>
    <row r="140" spans="1:26" ht="13.5" customHeight="1" x14ac:dyDescent="0.25">
      <c r="A140" s="249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62"/>
      <c r="U140" s="162"/>
      <c r="V140" s="162"/>
      <c r="W140" s="162"/>
      <c r="X140" s="162"/>
      <c r="Y140" s="162"/>
      <c r="Z140" s="162"/>
    </row>
    <row r="141" spans="1:26" ht="13.5" customHeight="1" x14ac:dyDescent="0.25">
      <c r="A141" s="249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62"/>
      <c r="U141" s="162"/>
      <c r="V141" s="162"/>
      <c r="W141" s="162"/>
      <c r="X141" s="162"/>
      <c r="Y141" s="162"/>
      <c r="Z141" s="162"/>
    </row>
    <row r="142" spans="1:26" ht="13.5" customHeight="1" x14ac:dyDescent="0.25">
      <c r="A142" s="249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62"/>
      <c r="U142" s="162"/>
      <c r="V142" s="162"/>
      <c r="W142" s="162"/>
      <c r="X142" s="162"/>
      <c r="Y142" s="162"/>
      <c r="Z142" s="162"/>
    </row>
    <row r="143" spans="1:26" ht="13.5" customHeight="1" x14ac:dyDescent="0.25">
      <c r="A143" s="249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62"/>
      <c r="U143" s="162"/>
      <c r="V143" s="162"/>
      <c r="W143" s="162"/>
      <c r="X143" s="162"/>
      <c r="Y143" s="162"/>
      <c r="Z143" s="162"/>
    </row>
    <row r="144" spans="1:26" ht="13.5" customHeight="1" x14ac:dyDescent="0.25">
      <c r="A144" s="249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62"/>
      <c r="U144" s="162"/>
      <c r="V144" s="162"/>
      <c r="W144" s="162"/>
      <c r="X144" s="162"/>
      <c r="Y144" s="162"/>
      <c r="Z144" s="162"/>
    </row>
    <row r="145" spans="1:26" ht="13.5" customHeight="1" x14ac:dyDescent="0.25">
      <c r="A145" s="249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62"/>
      <c r="U145" s="162"/>
      <c r="V145" s="162"/>
      <c r="W145" s="162"/>
      <c r="X145" s="162"/>
      <c r="Y145" s="162"/>
      <c r="Z145" s="162"/>
    </row>
    <row r="146" spans="1:26" ht="13.5" customHeight="1" x14ac:dyDescent="0.25">
      <c r="A146" s="249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62"/>
      <c r="U146" s="162"/>
      <c r="V146" s="162"/>
      <c r="W146" s="162"/>
      <c r="X146" s="162"/>
      <c r="Y146" s="162"/>
      <c r="Z146" s="162"/>
    </row>
    <row r="147" spans="1:26" ht="13.5" customHeight="1" x14ac:dyDescent="0.25">
      <c r="A147" s="249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62"/>
      <c r="U147" s="162"/>
      <c r="V147" s="162"/>
      <c r="W147" s="162"/>
      <c r="X147" s="162"/>
      <c r="Y147" s="162"/>
      <c r="Z147" s="162"/>
    </row>
    <row r="148" spans="1:26" ht="13.5" customHeight="1" x14ac:dyDescent="0.25">
      <c r="A148" s="249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62"/>
      <c r="U148" s="162"/>
      <c r="V148" s="162"/>
      <c r="W148" s="162"/>
      <c r="X148" s="162"/>
      <c r="Y148" s="162"/>
      <c r="Z148" s="162"/>
    </row>
    <row r="149" spans="1:26" ht="13.5" customHeight="1" x14ac:dyDescent="0.25">
      <c r="A149" s="249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62"/>
      <c r="U149" s="162"/>
      <c r="V149" s="162"/>
      <c r="W149" s="162"/>
      <c r="X149" s="162"/>
      <c r="Y149" s="162"/>
      <c r="Z149" s="162"/>
    </row>
    <row r="150" spans="1:26" ht="13.5" customHeight="1" x14ac:dyDescent="0.25">
      <c r="A150" s="249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62"/>
      <c r="U150" s="162"/>
      <c r="V150" s="162"/>
      <c r="W150" s="162"/>
      <c r="X150" s="162"/>
      <c r="Y150" s="162"/>
      <c r="Z150" s="162"/>
    </row>
    <row r="151" spans="1:26" ht="13.5" customHeight="1" x14ac:dyDescent="0.25">
      <c r="A151" s="24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62"/>
      <c r="U151" s="162"/>
      <c r="V151" s="162"/>
      <c r="W151" s="162"/>
      <c r="X151" s="162"/>
      <c r="Y151" s="162"/>
      <c r="Z151" s="162"/>
    </row>
    <row r="152" spans="1:26" ht="13.5" customHeight="1" x14ac:dyDescent="0.25">
      <c r="A152" s="249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62"/>
      <c r="U152" s="162"/>
      <c r="V152" s="162"/>
      <c r="W152" s="162"/>
      <c r="X152" s="162"/>
      <c r="Y152" s="162"/>
      <c r="Z152" s="162"/>
    </row>
    <row r="153" spans="1:26" ht="13.5" customHeight="1" x14ac:dyDescent="0.25">
      <c r="A153" s="249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62"/>
      <c r="U153" s="162"/>
      <c r="V153" s="162"/>
      <c r="W153" s="162"/>
      <c r="X153" s="162"/>
      <c r="Y153" s="162"/>
      <c r="Z153" s="162"/>
    </row>
    <row r="154" spans="1:26" ht="13.5" customHeight="1" x14ac:dyDescent="0.25">
      <c r="A154" s="249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62"/>
      <c r="U154" s="162"/>
      <c r="V154" s="162"/>
      <c r="W154" s="162"/>
      <c r="X154" s="162"/>
      <c r="Y154" s="162"/>
      <c r="Z154" s="162"/>
    </row>
    <row r="155" spans="1:26" ht="13.5" customHeight="1" x14ac:dyDescent="0.25">
      <c r="A155" s="249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62"/>
      <c r="U155" s="162"/>
      <c r="V155" s="162"/>
      <c r="W155" s="162"/>
      <c r="X155" s="162"/>
      <c r="Y155" s="162"/>
      <c r="Z155" s="162"/>
    </row>
    <row r="156" spans="1:26" ht="13.5" customHeight="1" x14ac:dyDescent="0.25">
      <c r="A156" s="249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62"/>
      <c r="U156" s="162"/>
      <c r="V156" s="162"/>
      <c r="W156" s="162"/>
      <c r="X156" s="162"/>
      <c r="Y156" s="162"/>
      <c r="Z156" s="162"/>
    </row>
    <row r="157" spans="1:26" ht="13.5" customHeight="1" x14ac:dyDescent="0.25">
      <c r="A157" s="249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62"/>
      <c r="U157" s="162"/>
      <c r="V157" s="162"/>
      <c r="W157" s="162"/>
      <c r="X157" s="162"/>
      <c r="Y157" s="162"/>
      <c r="Z157" s="162"/>
    </row>
    <row r="158" spans="1:26" ht="13.5" customHeight="1" x14ac:dyDescent="0.25">
      <c r="A158" s="249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62"/>
      <c r="U158" s="162"/>
      <c r="V158" s="162"/>
      <c r="W158" s="162"/>
      <c r="X158" s="162"/>
      <c r="Y158" s="162"/>
      <c r="Z158" s="162"/>
    </row>
    <row r="159" spans="1:26" ht="13.5" customHeight="1" x14ac:dyDescent="0.25">
      <c r="A159" s="249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62"/>
      <c r="U159" s="162"/>
      <c r="V159" s="162"/>
      <c r="W159" s="162"/>
      <c r="X159" s="162"/>
      <c r="Y159" s="162"/>
      <c r="Z159" s="162"/>
    </row>
    <row r="160" spans="1:26" ht="13.5" customHeight="1" x14ac:dyDescent="0.25">
      <c r="A160" s="249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62"/>
      <c r="U160" s="162"/>
      <c r="V160" s="162"/>
      <c r="W160" s="162"/>
      <c r="X160" s="162"/>
      <c r="Y160" s="162"/>
      <c r="Z160" s="162"/>
    </row>
    <row r="161" spans="1:26" ht="13.5" customHeight="1" x14ac:dyDescent="0.25">
      <c r="A161" s="249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62"/>
      <c r="U161" s="162"/>
      <c r="V161" s="162"/>
      <c r="W161" s="162"/>
      <c r="X161" s="162"/>
      <c r="Y161" s="162"/>
      <c r="Z161" s="162"/>
    </row>
    <row r="162" spans="1:26" ht="13.5" customHeight="1" x14ac:dyDescent="0.25">
      <c r="A162" s="249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62"/>
      <c r="U162" s="162"/>
      <c r="V162" s="162"/>
      <c r="W162" s="162"/>
      <c r="X162" s="162"/>
      <c r="Y162" s="162"/>
      <c r="Z162" s="162"/>
    </row>
    <row r="163" spans="1:26" ht="13.5" customHeight="1" x14ac:dyDescent="0.25">
      <c r="A163" s="249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62"/>
      <c r="U163" s="162"/>
      <c r="V163" s="162"/>
      <c r="W163" s="162"/>
      <c r="X163" s="162"/>
      <c r="Y163" s="162"/>
      <c r="Z163" s="162"/>
    </row>
    <row r="164" spans="1:26" ht="13.5" customHeight="1" x14ac:dyDescent="0.25">
      <c r="A164" s="249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62"/>
      <c r="U164" s="162"/>
      <c r="V164" s="162"/>
      <c r="W164" s="162"/>
      <c r="X164" s="162"/>
      <c r="Y164" s="162"/>
      <c r="Z164" s="162"/>
    </row>
    <row r="165" spans="1:26" ht="13.5" customHeight="1" x14ac:dyDescent="0.25">
      <c r="A165" s="249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62"/>
      <c r="U165" s="162"/>
      <c r="V165" s="162"/>
      <c r="W165" s="162"/>
      <c r="X165" s="162"/>
      <c r="Y165" s="162"/>
      <c r="Z165" s="162"/>
    </row>
    <row r="166" spans="1:26" ht="13.5" customHeight="1" x14ac:dyDescent="0.25">
      <c r="A166" s="2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62"/>
      <c r="U166" s="162"/>
      <c r="V166" s="162"/>
      <c r="W166" s="162"/>
      <c r="X166" s="162"/>
      <c r="Y166" s="162"/>
      <c r="Z166" s="162"/>
    </row>
    <row r="167" spans="1:26" ht="13.5" customHeight="1" x14ac:dyDescent="0.25">
      <c r="A167" s="249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62"/>
      <c r="U167" s="162"/>
      <c r="V167" s="162"/>
      <c r="W167" s="162"/>
      <c r="X167" s="162"/>
      <c r="Y167" s="162"/>
      <c r="Z167" s="162"/>
    </row>
    <row r="168" spans="1:26" ht="13.5" customHeight="1" x14ac:dyDescent="0.25">
      <c r="A168" s="2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62"/>
      <c r="U168" s="162"/>
      <c r="V168" s="162"/>
      <c r="W168" s="162"/>
      <c r="X168" s="162"/>
      <c r="Y168" s="162"/>
      <c r="Z168" s="162"/>
    </row>
    <row r="169" spans="1:26" ht="13.5" customHeight="1" x14ac:dyDescent="0.25">
      <c r="A169" s="2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62"/>
      <c r="U169" s="162"/>
      <c r="V169" s="162"/>
      <c r="W169" s="162"/>
      <c r="X169" s="162"/>
      <c r="Y169" s="162"/>
      <c r="Z169" s="162"/>
    </row>
    <row r="170" spans="1:26" ht="13.5" customHeight="1" x14ac:dyDescent="0.25">
      <c r="A170" s="249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62"/>
      <c r="U170" s="162"/>
      <c r="V170" s="162"/>
      <c r="W170" s="162"/>
      <c r="X170" s="162"/>
      <c r="Y170" s="162"/>
      <c r="Z170" s="162"/>
    </row>
    <row r="171" spans="1:26" ht="13.5" customHeight="1" x14ac:dyDescent="0.25">
      <c r="A171" s="249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62"/>
      <c r="U171" s="162"/>
      <c r="V171" s="162"/>
      <c r="W171" s="162"/>
      <c r="X171" s="162"/>
      <c r="Y171" s="162"/>
      <c r="Z171" s="162"/>
    </row>
    <row r="172" spans="1:26" ht="13.5" customHeight="1" x14ac:dyDescent="0.25">
      <c r="A172" s="249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62"/>
      <c r="U172" s="162"/>
      <c r="V172" s="162"/>
      <c r="W172" s="162"/>
      <c r="X172" s="162"/>
      <c r="Y172" s="162"/>
      <c r="Z172" s="162"/>
    </row>
    <row r="173" spans="1:26" ht="13.5" customHeight="1" x14ac:dyDescent="0.25">
      <c r="A173" s="249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62"/>
      <c r="U173" s="162"/>
      <c r="V173" s="162"/>
      <c r="W173" s="162"/>
      <c r="X173" s="162"/>
      <c r="Y173" s="162"/>
      <c r="Z173" s="162"/>
    </row>
    <row r="174" spans="1:26" ht="13.5" customHeight="1" x14ac:dyDescent="0.25">
      <c r="A174" s="249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62"/>
      <c r="U174" s="162"/>
      <c r="V174" s="162"/>
      <c r="W174" s="162"/>
      <c r="X174" s="162"/>
      <c r="Y174" s="162"/>
      <c r="Z174" s="162"/>
    </row>
    <row r="175" spans="1:26" ht="13.5" customHeight="1" x14ac:dyDescent="0.25">
      <c r="A175" s="249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62"/>
      <c r="U175" s="162"/>
      <c r="V175" s="162"/>
      <c r="W175" s="162"/>
      <c r="X175" s="162"/>
      <c r="Y175" s="162"/>
      <c r="Z175" s="162"/>
    </row>
    <row r="176" spans="1:26" ht="13.5" customHeight="1" x14ac:dyDescent="0.25">
      <c r="A176" s="249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62"/>
      <c r="U176" s="162"/>
      <c r="V176" s="162"/>
      <c r="W176" s="162"/>
      <c r="X176" s="162"/>
      <c r="Y176" s="162"/>
      <c r="Z176" s="162"/>
    </row>
    <row r="177" spans="1:26" ht="13.5" customHeight="1" x14ac:dyDescent="0.25">
      <c r="A177" s="249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62"/>
      <c r="U177" s="162"/>
      <c r="V177" s="162"/>
      <c r="W177" s="162"/>
      <c r="X177" s="162"/>
      <c r="Y177" s="162"/>
      <c r="Z177" s="162"/>
    </row>
    <row r="178" spans="1:26" ht="13.5" customHeight="1" x14ac:dyDescent="0.25">
      <c r="A178" s="249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62"/>
      <c r="U178" s="162"/>
      <c r="V178" s="162"/>
      <c r="W178" s="162"/>
      <c r="X178" s="162"/>
      <c r="Y178" s="162"/>
      <c r="Z178" s="162"/>
    </row>
    <row r="179" spans="1:26" ht="13.5" customHeight="1" x14ac:dyDescent="0.25">
      <c r="A179" s="249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62"/>
      <c r="U179" s="162"/>
      <c r="V179" s="162"/>
      <c r="W179" s="162"/>
      <c r="X179" s="162"/>
      <c r="Y179" s="162"/>
      <c r="Z179" s="162"/>
    </row>
    <row r="180" spans="1:26" ht="13.5" customHeight="1" x14ac:dyDescent="0.25">
      <c r="A180" s="249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62"/>
      <c r="U180" s="162"/>
      <c r="V180" s="162"/>
      <c r="W180" s="162"/>
      <c r="X180" s="162"/>
      <c r="Y180" s="162"/>
      <c r="Z180" s="162"/>
    </row>
    <row r="181" spans="1:26" ht="13.5" customHeight="1" x14ac:dyDescent="0.25">
      <c r="A181" s="249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62"/>
      <c r="U181" s="162"/>
      <c r="V181" s="162"/>
      <c r="W181" s="162"/>
      <c r="X181" s="162"/>
      <c r="Y181" s="162"/>
      <c r="Z181" s="162"/>
    </row>
    <row r="182" spans="1:26" ht="13.5" customHeight="1" x14ac:dyDescent="0.25">
      <c r="A182" s="249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62"/>
      <c r="U182" s="162"/>
      <c r="V182" s="162"/>
      <c r="W182" s="162"/>
      <c r="X182" s="162"/>
      <c r="Y182" s="162"/>
      <c r="Z182" s="162"/>
    </row>
    <row r="183" spans="1:26" ht="13.5" customHeight="1" x14ac:dyDescent="0.25">
      <c r="A183" s="24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62"/>
      <c r="U183" s="162"/>
      <c r="V183" s="162"/>
      <c r="W183" s="162"/>
      <c r="X183" s="162"/>
      <c r="Y183" s="162"/>
      <c r="Z183" s="162"/>
    </row>
    <row r="184" spans="1:26" ht="13.5" customHeight="1" x14ac:dyDescent="0.25">
      <c r="A184" s="249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62"/>
      <c r="U184" s="162"/>
      <c r="V184" s="162"/>
      <c r="W184" s="162"/>
      <c r="X184" s="162"/>
      <c r="Y184" s="162"/>
      <c r="Z184" s="162"/>
    </row>
    <row r="185" spans="1:26" ht="13.5" customHeight="1" x14ac:dyDescent="0.25">
      <c r="A185" s="249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62"/>
      <c r="U185" s="162"/>
      <c r="V185" s="162"/>
      <c r="W185" s="162"/>
      <c r="X185" s="162"/>
      <c r="Y185" s="162"/>
      <c r="Z185" s="162"/>
    </row>
    <row r="186" spans="1:26" ht="13.5" customHeight="1" x14ac:dyDescent="0.25">
      <c r="A186" s="249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62"/>
      <c r="U186" s="162"/>
      <c r="V186" s="162"/>
      <c r="W186" s="162"/>
      <c r="X186" s="162"/>
      <c r="Y186" s="162"/>
      <c r="Z186" s="162"/>
    </row>
    <row r="187" spans="1:26" ht="13.5" customHeight="1" x14ac:dyDescent="0.25">
      <c r="A187" s="249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62"/>
      <c r="U187" s="162"/>
      <c r="V187" s="162"/>
      <c r="W187" s="162"/>
      <c r="X187" s="162"/>
      <c r="Y187" s="162"/>
      <c r="Z187" s="162"/>
    </row>
    <row r="188" spans="1:26" ht="13.5" customHeight="1" x14ac:dyDescent="0.25">
      <c r="A188" s="249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62"/>
      <c r="U188" s="162"/>
      <c r="V188" s="162"/>
      <c r="W188" s="162"/>
      <c r="X188" s="162"/>
      <c r="Y188" s="162"/>
      <c r="Z188" s="162"/>
    </row>
    <row r="189" spans="1:26" ht="13.5" customHeight="1" x14ac:dyDescent="0.25">
      <c r="A189" s="249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62"/>
      <c r="U189" s="162"/>
      <c r="V189" s="162"/>
      <c r="W189" s="162"/>
      <c r="X189" s="162"/>
      <c r="Y189" s="162"/>
      <c r="Z189" s="162"/>
    </row>
    <row r="190" spans="1:26" ht="13.5" customHeight="1" x14ac:dyDescent="0.25">
      <c r="A190" s="249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62"/>
      <c r="U190" s="162"/>
      <c r="V190" s="162"/>
      <c r="W190" s="162"/>
      <c r="X190" s="162"/>
      <c r="Y190" s="162"/>
      <c r="Z190" s="162"/>
    </row>
    <row r="191" spans="1:26" ht="13.5" customHeight="1" x14ac:dyDescent="0.25">
      <c r="A191" s="249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62"/>
      <c r="U191" s="162"/>
      <c r="V191" s="162"/>
      <c r="W191" s="162"/>
      <c r="X191" s="162"/>
      <c r="Y191" s="162"/>
      <c r="Z191" s="162"/>
    </row>
    <row r="192" spans="1:26" ht="13.5" customHeight="1" x14ac:dyDescent="0.25">
      <c r="A192" s="249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62"/>
      <c r="U192" s="162"/>
      <c r="V192" s="162"/>
      <c r="W192" s="162"/>
      <c r="X192" s="162"/>
      <c r="Y192" s="162"/>
      <c r="Z192" s="162"/>
    </row>
    <row r="193" spans="1:26" ht="13.5" customHeight="1" x14ac:dyDescent="0.25">
      <c r="A193" s="249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62"/>
      <c r="U193" s="162"/>
      <c r="V193" s="162"/>
      <c r="W193" s="162"/>
      <c r="X193" s="162"/>
      <c r="Y193" s="162"/>
      <c r="Z193" s="162"/>
    </row>
    <row r="194" spans="1:26" ht="13.5" customHeight="1" x14ac:dyDescent="0.25">
      <c r="A194" s="249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62"/>
      <c r="U194" s="162"/>
      <c r="V194" s="162"/>
      <c r="W194" s="162"/>
      <c r="X194" s="162"/>
      <c r="Y194" s="162"/>
      <c r="Z194" s="162"/>
    </row>
    <row r="195" spans="1:26" ht="13.5" customHeight="1" x14ac:dyDescent="0.25">
      <c r="A195" s="249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62"/>
      <c r="U195" s="162"/>
      <c r="V195" s="162"/>
      <c r="W195" s="162"/>
      <c r="X195" s="162"/>
      <c r="Y195" s="162"/>
      <c r="Z195" s="162"/>
    </row>
    <row r="196" spans="1:26" ht="13.5" customHeight="1" x14ac:dyDescent="0.25">
      <c r="A196" s="249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62"/>
      <c r="U196" s="162"/>
      <c r="V196" s="162"/>
      <c r="W196" s="162"/>
      <c r="X196" s="162"/>
      <c r="Y196" s="162"/>
      <c r="Z196" s="162"/>
    </row>
    <row r="197" spans="1:26" ht="13.5" customHeight="1" x14ac:dyDescent="0.25">
      <c r="A197" s="249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62"/>
      <c r="U197" s="162"/>
      <c r="V197" s="162"/>
      <c r="W197" s="162"/>
      <c r="X197" s="162"/>
      <c r="Y197" s="162"/>
      <c r="Z197" s="162"/>
    </row>
    <row r="198" spans="1:26" ht="13.5" customHeight="1" x14ac:dyDescent="0.25">
      <c r="A198" s="249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62"/>
      <c r="U198" s="162"/>
      <c r="V198" s="162"/>
      <c r="W198" s="162"/>
      <c r="X198" s="162"/>
      <c r="Y198" s="162"/>
      <c r="Z198" s="162"/>
    </row>
    <row r="199" spans="1:26" ht="13.5" customHeight="1" x14ac:dyDescent="0.25">
      <c r="A199" s="249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62"/>
      <c r="U199" s="162"/>
      <c r="V199" s="162"/>
      <c r="W199" s="162"/>
      <c r="X199" s="162"/>
      <c r="Y199" s="162"/>
      <c r="Z199" s="162"/>
    </row>
    <row r="200" spans="1:26" ht="13.5" customHeight="1" x14ac:dyDescent="0.25">
      <c r="A200" s="249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62"/>
      <c r="U200" s="162"/>
      <c r="V200" s="162"/>
      <c r="W200" s="162"/>
      <c r="X200" s="162"/>
      <c r="Y200" s="162"/>
      <c r="Z200" s="162"/>
    </row>
    <row r="201" spans="1:26" ht="13.5" customHeight="1" x14ac:dyDescent="0.25">
      <c r="A201" s="249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62"/>
      <c r="U201" s="162"/>
      <c r="V201" s="162"/>
      <c r="W201" s="162"/>
      <c r="X201" s="162"/>
      <c r="Y201" s="162"/>
      <c r="Z201" s="162"/>
    </row>
    <row r="202" spans="1:26" ht="13.5" customHeight="1" x14ac:dyDescent="0.25">
      <c r="A202" s="249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62"/>
      <c r="U202" s="162"/>
      <c r="V202" s="162"/>
      <c r="W202" s="162"/>
      <c r="X202" s="162"/>
      <c r="Y202" s="162"/>
      <c r="Z202" s="162"/>
    </row>
    <row r="203" spans="1:26" ht="13.5" customHeight="1" x14ac:dyDescent="0.25">
      <c r="A203" s="249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62"/>
      <c r="U203" s="162"/>
      <c r="V203" s="162"/>
      <c r="W203" s="162"/>
      <c r="X203" s="162"/>
      <c r="Y203" s="162"/>
      <c r="Z203" s="162"/>
    </row>
    <row r="204" spans="1:26" ht="13.5" customHeight="1" x14ac:dyDescent="0.25">
      <c r="A204" s="249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62"/>
      <c r="U204" s="162"/>
      <c r="V204" s="162"/>
      <c r="W204" s="162"/>
      <c r="X204" s="162"/>
      <c r="Y204" s="162"/>
      <c r="Z204" s="162"/>
    </row>
    <row r="205" spans="1:26" ht="13.5" customHeight="1" x14ac:dyDescent="0.25">
      <c r="A205" s="249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62"/>
      <c r="U205" s="162"/>
      <c r="V205" s="162"/>
      <c r="W205" s="162"/>
      <c r="X205" s="162"/>
      <c r="Y205" s="162"/>
      <c r="Z205" s="162"/>
    </row>
    <row r="206" spans="1:26" ht="13.5" customHeight="1" x14ac:dyDescent="0.25">
      <c r="A206" s="249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62"/>
      <c r="U206" s="162"/>
      <c r="V206" s="162"/>
      <c r="W206" s="162"/>
      <c r="X206" s="162"/>
      <c r="Y206" s="162"/>
      <c r="Z206" s="162"/>
    </row>
    <row r="207" spans="1:26" ht="13.5" customHeight="1" x14ac:dyDescent="0.25">
      <c r="A207" s="249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62"/>
      <c r="U207" s="162"/>
      <c r="V207" s="162"/>
      <c r="W207" s="162"/>
      <c r="X207" s="162"/>
      <c r="Y207" s="162"/>
      <c r="Z207" s="162"/>
    </row>
    <row r="208" spans="1:26" ht="13.5" customHeight="1" x14ac:dyDescent="0.25">
      <c r="A208" s="249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62"/>
      <c r="U208" s="162"/>
      <c r="V208" s="162"/>
      <c r="W208" s="162"/>
      <c r="X208" s="162"/>
      <c r="Y208" s="162"/>
      <c r="Z208" s="162"/>
    </row>
    <row r="209" spans="1:26" ht="13.5" customHeight="1" x14ac:dyDescent="0.25">
      <c r="A209" s="249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62"/>
      <c r="U209" s="162"/>
      <c r="V209" s="162"/>
      <c r="W209" s="162"/>
      <c r="X209" s="162"/>
      <c r="Y209" s="162"/>
      <c r="Z209" s="162"/>
    </row>
    <row r="210" spans="1:26" ht="13.5" customHeight="1" x14ac:dyDescent="0.25">
      <c r="A210" s="249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62"/>
      <c r="U210" s="162"/>
      <c r="V210" s="162"/>
      <c r="W210" s="162"/>
      <c r="X210" s="162"/>
      <c r="Y210" s="162"/>
      <c r="Z210" s="162"/>
    </row>
    <row r="211" spans="1:26" ht="13.5" customHeight="1" x14ac:dyDescent="0.25">
      <c r="A211" s="249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62"/>
      <c r="U211" s="162"/>
      <c r="V211" s="162"/>
      <c r="W211" s="162"/>
      <c r="X211" s="162"/>
      <c r="Y211" s="162"/>
      <c r="Z211" s="162"/>
    </row>
    <row r="212" spans="1:26" ht="13.5" customHeight="1" x14ac:dyDescent="0.25">
      <c r="A212" s="249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62"/>
      <c r="U212" s="162"/>
      <c r="V212" s="162"/>
      <c r="W212" s="162"/>
      <c r="X212" s="162"/>
      <c r="Y212" s="162"/>
      <c r="Z212" s="162"/>
    </row>
    <row r="213" spans="1:26" ht="13.5" customHeight="1" x14ac:dyDescent="0.25">
      <c r="A213" s="249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62"/>
      <c r="U213" s="162"/>
      <c r="V213" s="162"/>
      <c r="W213" s="162"/>
      <c r="X213" s="162"/>
      <c r="Y213" s="162"/>
      <c r="Z213" s="162"/>
    </row>
    <row r="214" spans="1:26" ht="13.5" customHeight="1" x14ac:dyDescent="0.25">
      <c r="A214" s="249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62"/>
      <c r="U214" s="162"/>
      <c r="V214" s="162"/>
      <c r="W214" s="162"/>
      <c r="X214" s="162"/>
      <c r="Y214" s="162"/>
      <c r="Z214" s="162"/>
    </row>
    <row r="215" spans="1:26" ht="13.5" customHeight="1" x14ac:dyDescent="0.25">
      <c r="A215" s="249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62"/>
      <c r="U215" s="162"/>
      <c r="V215" s="162"/>
      <c r="W215" s="162"/>
      <c r="X215" s="162"/>
      <c r="Y215" s="162"/>
      <c r="Z215" s="162"/>
    </row>
    <row r="216" spans="1:26" ht="13.5" customHeight="1" x14ac:dyDescent="0.25">
      <c r="A216" s="249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62"/>
      <c r="U216" s="162"/>
      <c r="V216" s="162"/>
      <c r="W216" s="162"/>
      <c r="X216" s="162"/>
      <c r="Y216" s="162"/>
      <c r="Z216" s="162"/>
    </row>
    <row r="217" spans="1:26" ht="13.5" customHeight="1" x14ac:dyDescent="0.25">
      <c r="A217" s="249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62"/>
      <c r="U217" s="162"/>
      <c r="V217" s="162"/>
      <c r="W217" s="162"/>
      <c r="X217" s="162"/>
      <c r="Y217" s="162"/>
      <c r="Z217" s="162"/>
    </row>
    <row r="218" spans="1:26" ht="13.5" customHeight="1" x14ac:dyDescent="0.25">
      <c r="A218" s="249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62"/>
      <c r="U218" s="162"/>
      <c r="V218" s="162"/>
      <c r="W218" s="162"/>
      <c r="X218" s="162"/>
      <c r="Y218" s="162"/>
      <c r="Z218" s="162"/>
    </row>
    <row r="219" spans="1:26" ht="13.5" customHeight="1" x14ac:dyDescent="0.25">
      <c r="A219" s="249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62"/>
      <c r="U219" s="162"/>
      <c r="V219" s="162"/>
      <c r="W219" s="162"/>
      <c r="X219" s="162"/>
      <c r="Y219" s="162"/>
      <c r="Z219" s="162"/>
    </row>
    <row r="220" spans="1:26" ht="13.5" customHeight="1" x14ac:dyDescent="0.25">
      <c r="A220" s="249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62"/>
      <c r="U220" s="162"/>
      <c r="V220" s="162"/>
      <c r="W220" s="162"/>
      <c r="X220" s="162"/>
      <c r="Y220" s="162"/>
      <c r="Z220" s="162"/>
    </row>
    <row r="221" spans="1:26" ht="13.5" customHeight="1" x14ac:dyDescent="0.25">
      <c r="A221" s="249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62"/>
      <c r="U221" s="162"/>
      <c r="V221" s="162"/>
      <c r="W221" s="162"/>
      <c r="X221" s="162"/>
      <c r="Y221" s="162"/>
      <c r="Z221" s="162"/>
    </row>
    <row r="222" spans="1:26" ht="13.5" customHeight="1" x14ac:dyDescent="0.25">
      <c r="A222" s="249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62"/>
      <c r="U222" s="162"/>
      <c r="V222" s="162"/>
      <c r="W222" s="162"/>
      <c r="X222" s="162"/>
      <c r="Y222" s="162"/>
      <c r="Z222" s="162"/>
    </row>
    <row r="223" spans="1:26" ht="13.5" customHeight="1" x14ac:dyDescent="0.25">
      <c r="A223" s="249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62"/>
      <c r="U223" s="162"/>
      <c r="V223" s="162"/>
      <c r="W223" s="162"/>
      <c r="X223" s="162"/>
      <c r="Y223" s="162"/>
      <c r="Z223" s="162"/>
    </row>
    <row r="224" spans="1:26" ht="13.5" customHeight="1" x14ac:dyDescent="0.25">
      <c r="A224" s="249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62"/>
      <c r="U224" s="162"/>
      <c r="V224" s="162"/>
      <c r="W224" s="162"/>
      <c r="X224" s="162"/>
      <c r="Y224" s="162"/>
      <c r="Z224" s="162"/>
    </row>
    <row r="225" spans="1:26" ht="13.5" customHeight="1" x14ac:dyDescent="0.25">
      <c r="A225" s="249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62"/>
      <c r="U225" s="162"/>
      <c r="V225" s="162"/>
      <c r="W225" s="162"/>
      <c r="X225" s="162"/>
      <c r="Y225" s="162"/>
      <c r="Z225" s="162"/>
    </row>
    <row r="226" spans="1:26" ht="13.5" customHeight="1" x14ac:dyDescent="0.25">
      <c r="A226" s="249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62"/>
      <c r="U226" s="162"/>
      <c r="V226" s="162"/>
      <c r="W226" s="162"/>
      <c r="X226" s="162"/>
      <c r="Y226" s="162"/>
      <c r="Z226" s="162"/>
    </row>
    <row r="227" spans="1:26" ht="13.5" customHeight="1" x14ac:dyDescent="0.25">
      <c r="A227" s="249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62"/>
      <c r="U227" s="162"/>
      <c r="V227" s="162"/>
      <c r="W227" s="162"/>
      <c r="X227" s="162"/>
      <c r="Y227" s="162"/>
      <c r="Z227" s="162"/>
    </row>
    <row r="228" spans="1:26" ht="13.5" customHeight="1" x14ac:dyDescent="0.25">
      <c r="A228" s="249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62"/>
      <c r="U228" s="162"/>
      <c r="V228" s="162"/>
      <c r="W228" s="162"/>
      <c r="X228" s="162"/>
      <c r="Y228" s="162"/>
      <c r="Z228" s="162"/>
    </row>
    <row r="229" spans="1:26" ht="13.5" customHeight="1" x14ac:dyDescent="0.25">
      <c r="A229" s="249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62"/>
      <c r="U229" s="162"/>
      <c r="V229" s="162"/>
      <c r="W229" s="162"/>
      <c r="X229" s="162"/>
      <c r="Y229" s="162"/>
      <c r="Z229" s="162"/>
    </row>
    <row r="230" spans="1:26" ht="13.5" customHeight="1" x14ac:dyDescent="0.25">
      <c r="A230" s="249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62"/>
      <c r="U230" s="162"/>
      <c r="V230" s="162"/>
      <c r="W230" s="162"/>
      <c r="X230" s="162"/>
      <c r="Y230" s="162"/>
      <c r="Z230" s="162"/>
    </row>
    <row r="231" spans="1:26" ht="13.5" customHeight="1" x14ac:dyDescent="0.25">
      <c r="A231" s="249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62"/>
      <c r="U231" s="162"/>
      <c r="V231" s="162"/>
      <c r="W231" s="162"/>
      <c r="X231" s="162"/>
      <c r="Y231" s="162"/>
      <c r="Z231" s="162"/>
    </row>
    <row r="232" spans="1:26" ht="13.5" customHeight="1" x14ac:dyDescent="0.25">
      <c r="A232" s="249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62"/>
      <c r="U232" s="162"/>
      <c r="V232" s="162"/>
      <c r="W232" s="162"/>
      <c r="X232" s="162"/>
      <c r="Y232" s="162"/>
      <c r="Z232" s="162"/>
    </row>
    <row r="233" spans="1:26" ht="13.5" customHeight="1" x14ac:dyDescent="0.25">
      <c r="A233" s="249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62"/>
      <c r="U233" s="162"/>
      <c r="V233" s="162"/>
      <c r="W233" s="162"/>
      <c r="X233" s="162"/>
      <c r="Y233" s="162"/>
      <c r="Z233" s="162"/>
    </row>
    <row r="234" spans="1:26" ht="13.5" customHeight="1" x14ac:dyDescent="0.25">
      <c r="A234" s="249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62"/>
      <c r="U234" s="162"/>
      <c r="V234" s="162"/>
      <c r="W234" s="162"/>
      <c r="X234" s="162"/>
      <c r="Y234" s="162"/>
      <c r="Z234" s="162"/>
    </row>
    <row r="235" spans="1:26" ht="13.5" customHeight="1" x14ac:dyDescent="0.25">
      <c r="A235" s="249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62"/>
      <c r="U235" s="162"/>
      <c r="V235" s="162"/>
      <c r="W235" s="162"/>
      <c r="X235" s="162"/>
      <c r="Y235" s="162"/>
      <c r="Z235" s="162"/>
    </row>
    <row r="236" spans="1:26" ht="13.5" customHeight="1" x14ac:dyDescent="0.25">
      <c r="A236" s="249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62"/>
      <c r="U236" s="162"/>
      <c r="V236" s="162"/>
      <c r="W236" s="162"/>
      <c r="X236" s="162"/>
      <c r="Y236" s="162"/>
      <c r="Z236" s="162"/>
    </row>
    <row r="237" spans="1:26" ht="13.5" customHeight="1" x14ac:dyDescent="0.25">
      <c r="A237" s="249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62"/>
      <c r="U237" s="162"/>
      <c r="V237" s="162"/>
      <c r="W237" s="162"/>
      <c r="X237" s="162"/>
      <c r="Y237" s="162"/>
      <c r="Z237" s="162"/>
    </row>
    <row r="238" spans="1:26" ht="13.5" customHeight="1" x14ac:dyDescent="0.25">
      <c r="A238" s="249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62"/>
      <c r="U238" s="162"/>
      <c r="V238" s="162"/>
      <c r="W238" s="162"/>
      <c r="X238" s="162"/>
      <c r="Y238" s="162"/>
      <c r="Z238" s="162"/>
    </row>
    <row r="239" spans="1:26" ht="13.5" customHeight="1" x14ac:dyDescent="0.25">
      <c r="A239" s="249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62"/>
      <c r="U239" s="162"/>
      <c r="V239" s="162"/>
      <c r="W239" s="162"/>
      <c r="X239" s="162"/>
      <c r="Y239" s="162"/>
      <c r="Z239" s="162"/>
    </row>
    <row r="240" spans="1:26" ht="13.5" customHeight="1" x14ac:dyDescent="0.25">
      <c r="A240" s="249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62"/>
      <c r="U240" s="162"/>
      <c r="V240" s="162"/>
      <c r="W240" s="162"/>
      <c r="X240" s="162"/>
      <c r="Y240" s="162"/>
      <c r="Z240" s="162"/>
    </row>
    <row r="241" spans="1:26" ht="13.5" customHeight="1" x14ac:dyDescent="0.25">
      <c r="A241" s="249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62"/>
      <c r="U241" s="162"/>
      <c r="V241" s="162"/>
      <c r="W241" s="162"/>
      <c r="X241" s="162"/>
      <c r="Y241" s="162"/>
      <c r="Z241" s="162"/>
    </row>
    <row r="242" spans="1:26" ht="13.5" customHeight="1" x14ac:dyDescent="0.25">
      <c r="A242" s="249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62"/>
      <c r="U242" s="162"/>
      <c r="V242" s="162"/>
      <c r="W242" s="162"/>
      <c r="X242" s="162"/>
      <c r="Y242" s="162"/>
      <c r="Z242" s="162"/>
    </row>
    <row r="243" spans="1:26" ht="13.5" customHeight="1" x14ac:dyDescent="0.25">
      <c r="A243" s="249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62"/>
      <c r="U243" s="162"/>
      <c r="V243" s="162"/>
      <c r="W243" s="162"/>
      <c r="X243" s="162"/>
      <c r="Y243" s="162"/>
      <c r="Z243" s="162"/>
    </row>
    <row r="244" spans="1:26" ht="13.5" customHeight="1" x14ac:dyDescent="0.25">
      <c r="A244" s="249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62"/>
      <c r="U244" s="162"/>
      <c r="V244" s="162"/>
      <c r="W244" s="162"/>
      <c r="X244" s="162"/>
      <c r="Y244" s="162"/>
      <c r="Z244" s="162"/>
    </row>
    <row r="245" spans="1:26" ht="13.5" customHeight="1" x14ac:dyDescent="0.25">
      <c r="A245" s="249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62"/>
      <c r="U245" s="162"/>
      <c r="V245" s="162"/>
      <c r="W245" s="162"/>
      <c r="X245" s="162"/>
      <c r="Y245" s="162"/>
      <c r="Z245" s="162"/>
    </row>
    <row r="246" spans="1:26" ht="13.5" customHeight="1" x14ac:dyDescent="0.25">
      <c r="A246" s="249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62"/>
      <c r="U246" s="162"/>
      <c r="V246" s="162"/>
      <c r="W246" s="162"/>
      <c r="X246" s="162"/>
      <c r="Y246" s="162"/>
      <c r="Z246" s="162"/>
    </row>
    <row r="247" spans="1:26" ht="13.5" customHeight="1" x14ac:dyDescent="0.25">
      <c r="A247" s="249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62"/>
      <c r="U247" s="162"/>
      <c r="V247" s="162"/>
      <c r="W247" s="162"/>
      <c r="X247" s="162"/>
      <c r="Y247" s="162"/>
      <c r="Z247" s="162"/>
    </row>
    <row r="248" spans="1:26" ht="13.5" customHeight="1" x14ac:dyDescent="0.25">
      <c r="A248" s="249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62"/>
      <c r="U248" s="162"/>
      <c r="V248" s="162"/>
      <c r="W248" s="162"/>
      <c r="X248" s="162"/>
      <c r="Y248" s="162"/>
      <c r="Z248" s="162"/>
    </row>
    <row r="249" spans="1:26" ht="13.5" customHeight="1" x14ac:dyDescent="0.25">
      <c r="A249" s="249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62"/>
      <c r="U249" s="162"/>
      <c r="V249" s="162"/>
      <c r="W249" s="162"/>
      <c r="X249" s="162"/>
      <c r="Y249" s="162"/>
      <c r="Z249" s="162"/>
    </row>
    <row r="250" spans="1:26" ht="13.5" customHeight="1" x14ac:dyDescent="0.25">
      <c r="A250" s="249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62"/>
      <c r="U250" s="162"/>
      <c r="V250" s="162"/>
      <c r="W250" s="162"/>
      <c r="X250" s="162"/>
      <c r="Y250" s="162"/>
      <c r="Z250" s="162"/>
    </row>
    <row r="251" spans="1:26" ht="13.5" customHeight="1" x14ac:dyDescent="0.25">
      <c r="A251" s="249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62"/>
      <c r="U251" s="162"/>
      <c r="V251" s="162"/>
      <c r="W251" s="162"/>
      <c r="X251" s="162"/>
      <c r="Y251" s="162"/>
      <c r="Z251" s="162"/>
    </row>
    <row r="252" spans="1:26" ht="13.5" customHeight="1" x14ac:dyDescent="0.25">
      <c r="A252" s="249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62"/>
      <c r="U252" s="162"/>
      <c r="V252" s="162"/>
      <c r="W252" s="162"/>
      <c r="X252" s="162"/>
      <c r="Y252" s="162"/>
      <c r="Z252" s="162"/>
    </row>
    <row r="253" spans="1:26" ht="13.5" customHeight="1" x14ac:dyDescent="0.25">
      <c r="A253" s="249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62"/>
      <c r="U253" s="162"/>
      <c r="V253" s="162"/>
      <c r="W253" s="162"/>
      <c r="X253" s="162"/>
      <c r="Y253" s="162"/>
      <c r="Z253" s="162"/>
    </row>
    <row r="254" spans="1:26" ht="13.5" customHeight="1" x14ac:dyDescent="0.25">
      <c r="A254" s="249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62"/>
      <c r="U254" s="162"/>
      <c r="V254" s="162"/>
      <c r="W254" s="162"/>
      <c r="X254" s="162"/>
      <c r="Y254" s="162"/>
      <c r="Z254" s="162"/>
    </row>
    <row r="255" spans="1:26" ht="13.5" customHeight="1" x14ac:dyDescent="0.25">
      <c r="A255" s="249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62"/>
      <c r="U255" s="162"/>
      <c r="V255" s="162"/>
      <c r="W255" s="162"/>
      <c r="X255" s="162"/>
      <c r="Y255" s="162"/>
      <c r="Z255" s="162"/>
    </row>
    <row r="256" spans="1:26" ht="13.5" customHeight="1" x14ac:dyDescent="0.25">
      <c r="A256" s="249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62"/>
      <c r="U256" s="162"/>
      <c r="V256" s="162"/>
      <c r="W256" s="162"/>
      <c r="X256" s="162"/>
      <c r="Y256" s="162"/>
      <c r="Z256" s="162"/>
    </row>
    <row r="257" spans="1:26" ht="13.5" customHeight="1" x14ac:dyDescent="0.25">
      <c r="A257" s="249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62"/>
      <c r="U257" s="162"/>
      <c r="V257" s="162"/>
      <c r="W257" s="162"/>
      <c r="X257" s="162"/>
      <c r="Y257" s="162"/>
      <c r="Z257" s="162"/>
    </row>
    <row r="258" spans="1:26" ht="13.5" customHeight="1" x14ac:dyDescent="0.25">
      <c r="A258" s="249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62"/>
      <c r="U258" s="162"/>
      <c r="V258" s="162"/>
      <c r="W258" s="162"/>
      <c r="X258" s="162"/>
      <c r="Y258" s="162"/>
      <c r="Z258" s="162"/>
    </row>
    <row r="259" spans="1:26" ht="13.5" customHeight="1" x14ac:dyDescent="0.25">
      <c r="A259" s="249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62"/>
      <c r="U259" s="162"/>
      <c r="V259" s="162"/>
      <c r="W259" s="162"/>
      <c r="X259" s="162"/>
      <c r="Y259" s="162"/>
      <c r="Z259" s="162"/>
    </row>
    <row r="260" spans="1:26" ht="13.5" customHeight="1" x14ac:dyDescent="0.25">
      <c r="A260" s="249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62"/>
      <c r="U260" s="162"/>
      <c r="V260" s="162"/>
      <c r="W260" s="162"/>
      <c r="X260" s="162"/>
      <c r="Y260" s="162"/>
      <c r="Z260" s="162"/>
    </row>
    <row r="261" spans="1:26" ht="13.5" customHeight="1" x14ac:dyDescent="0.25">
      <c r="A261" s="249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62"/>
      <c r="U261" s="162"/>
      <c r="V261" s="162"/>
      <c r="W261" s="162"/>
      <c r="X261" s="162"/>
      <c r="Y261" s="162"/>
      <c r="Z261" s="162"/>
    </row>
    <row r="262" spans="1:26" ht="13.5" customHeight="1" x14ac:dyDescent="0.25">
      <c r="A262" s="249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62"/>
      <c r="U262" s="162"/>
      <c r="V262" s="162"/>
      <c r="W262" s="162"/>
      <c r="X262" s="162"/>
      <c r="Y262" s="162"/>
      <c r="Z262" s="162"/>
    </row>
    <row r="263" spans="1:26" ht="13.5" customHeight="1" x14ac:dyDescent="0.25">
      <c r="A263" s="249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62"/>
      <c r="U263" s="162"/>
      <c r="V263" s="162"/>
      <c r="W263" s="162"/>
      <c r="X263" s="162"/>
      <c r="Y263" s="162"/>
      <c r="Z263" s="162"/>
    </row>
    <row r="264" spans="1:26" ht="13.5" customHeight="1" x14ac:dyDescent="0.25">
      <c r="A264" s="249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62"/>
      <c r="U264" s="162"/>
      <c r="V264" s="162"/>
      <c r="W264" s="162"/>
      <c r="X264" s="162"/>
      <c r="Y264" s="162"/>
      <c r="Z264" s="162"/>
    </row>
    <row r="265" spans="1:26" ht="13.5" customHeight="1" x14ac:dyDescent="0.25">
      <c r="A265" s="249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62"/>
      <c r="U265" s="162"/>
      <c r="V265" s="162"/>
      <c r="W265" s="162"/>
      <c r="X265" s="162"/>
      <c r="Y265" s="162"/>
      <c r="Z265" s="162"/>
    </row>
    <row r="266" spans="1:26" ht="13.5" customHeight="1" x14ac:dyDescent="0.25">
      <c r="A266" s="249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62"/>
      <c r="U266" s="162"/>
      <c r="V266" s="162"/>
      <c r="W266" s="162"/>
      <c r="X266" s="162"/>
      <c r="Y266" s="162"/>
      <c r="Z266" s="162"/>
    </row>
    <row r="267" spans="1:26" ht="13.5" customHeight="1" x14ac:dyDescent="0.25">
      <c r="A267" s="249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62"/>
      <c r="U267" s="162"/>
      <c r="V267" s="162"/>
      <c r="W267" s="162"/>
      <c r="X267" s="162"/>
      <c r="Y267" s="162"/>
      <c r="Z267" s="162"/>
    </row>
    <row r="268" spans="1:26" ht="13.5" customHeight="1" x14ac:dyDescent="0.25">
      <c r="A268" s="249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62"/>
      <c r="U268" s="162"/>
      <c r="V268" s="162"/>
      <c r="W268" s="162"/>
      <c r="X268" s="162"/>
      <c r="Y268" s="162"/>
      <c r="Z268" s="162"/>
    </row>
    <row r="269" spans="1:26" ht="13.5" customHeight="1" x14ac:dyDescent="0.25">
      <c r="A269" s="249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62"/>
      <c r="U269" s="162"/>
      <c r="V269" s="162"/>
      <c r="W269" s="162"/>
      <c r="X269" s="162"/>
      <c r="Y269" s="162"/>
      <c r="Z269" s="162"/>
    </row>
    <row r="270" spans="1:26" ht="13.5" customHeight="1" x14ac:dyDescent="0.25">
      <c r="A270" s="249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62"/>
      <c r="U270" s="162"/>
      <c r="V270" s="162"/>
      <c r="W270" s="162"/>
      <c r="X270" s="162"/>
      <c r="Y270" s="162"/>
      <c r="Z270" s="162"/>
    </row>
    <row r="271" spans="1:26" ht="13.5" customHeight="1" x14ac:dyDescent="0.25">
      <c r="A271" s="249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62"/>
      <c r="U271" s="162"/>
      <c r="V271" s="162"/>
      <c r="W271" s="162"/>
      <c r="X271" s="162"/>
      <c r="Y271" s="162"/>
      <c r="Z271" s="162"/>
    </row>
    <row r="272" spans="1:26" ht="13.5" customHeight="1" x14ac:dyDescent="0.25">
      <c r="A272" s="249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62"/>
      <c r="U272" s="162"/>
      <c r="V272" s="162"/>
      <c r="W272" s="162"/>
      <c r="X272" s="162"/>
      <c r="Y272" s="162"/>
      <c r="Z272" s="162"/>
    </row>
    <row r="273" spans="1:26" ht="13.5" customHeight="1" x14ac:dyDescent="0.25">
      <c r="A273" s="249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62"/>
      <c r="U273" s="162"/>
      <c r="V273" s="162"/>
      <c r="W273" s="162"/>
      <c r="X273" s="162"/>
      <c r="Y273" s="162"/>
      <c r="Z273" s="162"/>
    </row>
    <row r="274" spans="1:26" ht="13.5" customHeight="1" x14ac:dyDescent="0.25">
      <c r="A274" s="249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62"/>
      <c r="U274" s="162"/>
      <c r="V274" s="162"/>
      <c r="W274" s="162"/>
      <c r="X274" s="162"/>
      <c r="Y274" s="162"/>
      <c r="Z274" s="162"/>
    </row>
    <row r="275" spans="1:26" ht="13.5" customHeight="1" x14ac:dyDescent="0.25">
      <c r="A275" s="249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62"/>
      <c r="U275" s="162"/>
      <c r="V275" s="162"/>
      <c r="W275" s="162"/>
      <c r="X275" s="162"/>
      <c r="Y275" s="162"/>
      <c r="Z275" s="162"/>
    </row>
    <row r="276" spans="1:26" ht="13.5" customHeight="1" x14ac:dyDescent="0.25">
      <c r="A276" s="249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62"/>
      <c r="U276" s="162"/>
      <c r="V276" s="162"/>
      <c r="W276" s="162"/>
      <c r="X276" s="162"/>
      <c r="Y276" s="162"/>
      <c r="Z276" s="162"/>
    </row>
    <row r="277" spans="1:26" ht="13.5" customHeight="1" x14ac:dyDescent="0.25">
      <c r="A277" s="249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62"/>
      <c r="U277" s="162"/>
      <c r="V277" s="162"/>
      <c r="W277" s="162"/>
      <c r="X277" s="162"/>
      <c r="Y277" s="162"/>
      <c r="Z277" s="162"/>
    </row>
    <row r="278" spans="1:26" ht="13.5" customHeight="1" x14ac:dyDescent="0.25">
      <c r="A278" s="249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62"/>
      <c r="U278" s="162"/>
      <c r="V278" s="162"/>
      <c r="W278" s="162"/>
      <c r="X278" s="162"/>
      <c r="Y278" s="162"/>
      <c r="Z278" s="162"/>
    </row>
    <row r="279" spans="1:26" ht="13.5" customHeight="1" x14ac:dyDescent="0.25">
      <c r="A279" s="249"/>
      <c r="B279" s="68"/>
      <c r="C279" s="68"/>
      <c r="D279" s="68"/>
      <c r="E279" s="68"/>
      <c r="F279" s="68"/>
      <c r="G279" s="68"/>
      <c r="H279" s="68"/>
      <c r="K279" s="68"/>
      <c r="L279" s="68"/>
      <c r="M279" s="68"/>
      <c r="N279" s="68"/>
      <c r="O279" s="68"/>
      <c r="P279" s="68"/>
      <c r="Q279" s="68"/>
      <c r="R279" s="68"/>
      <c r="S279" s="68"/>
      <c r="T279" s="162"/>
      <c r="U279" s="162"/>
      <c r="V279" s="162"/>
      <c r="W279" s="162"/>
      <c r="X279" s="162"/>
      <c r="Y279" s="162"/>
      <c r="Z279" s="162"/>
    </row>
    <row r="280" spans="1:26" ht="13.5" customHeight="1" x14ac:dyDescent="0.25">
      <c r="A280" s="249"/>
      <c r="B280" s="68"/>
      <c r="C280" s="68"/>
      <c r="D280" s="68"/>
      <c r="E280" s="68"/>
      <c r="F280" s="68"/>
      <c r="G280" s="68"/>
      <c r="H280" s="68"/>
      <c r="K280" s="68"/>
      <c r="L280" s="68"/>
      <c r="M280" s="68"/>
      <c r="N280" s="68"/>
      <c r="O280" s="68"/>
      <c r="P280" s="68"/>
      <c r="Q280" s="68"/>
      <c r="R280" s="68"/>
      <c r="S280" s="68"/>
      <c r="T280" s="162"/>
      <c r="U280" s="162"/>
      <c r="V280" s="162"/>
      <c r="W280" s="162"/>
      <c r="X280" s="162"/>
      <c r="Y280" s="162"/>
      <c r="Z280" s="162"/>
    </row>
    <row r="281" spans="1:26" ht="13.5" customHeight="1" x14ac:dyDescent="0.25">
      <c r="A281" s="249"/>
      <c r="B281" s="68"/>
      <c r="C281" s="68"/>
      <c r="D281" s="68"/>
      <c r="E281" s="68"/>
      <c r="F281" s="68"/>
      <c r="G281" s="68"/>
      <c r="H281" s="68"/>
      <c r="K281" s="68"/>
      <c r="L281" s="68"/>
      <c r="M281" s="68"/>
      <c r="N281" s="68"/>
      <c r="O281" s="68"/>
      <c r="P281" s="68"/>
      <c r="Q281" s="68"/>
      <c r="R281" s="68"/>
      <c r="S281" s="68"/>
      <c r="T281" s="162"/>
      <c r="U281" s="162"/>
      <c r="V281" s="162"/>
      <c r="W281" s="162"/>
      <c r="X281" s="162"/>
      <c r="Y281" s="162"/>
      <c r="Z281" s="162"/>
    </row>
    <row r="282" spans="1:26" ht="13.5" customHeight="1" x14ac:dyDescent="0.25">
      <c r="A282" s="249"/>
      <c r="B282" s="68"/>
      <c r="C282" s="68"/>
      <c r="D282" s="68"/>
      <c r="E282" s="68"/>
      <c r="F282" s="68"/>
      <c r="G282" s="68"/>
      <c r="H282" s="68"/>
      <c r="K282" s="68"/>
      <c r="L282" s="68"/>
      <c r="M282" s="68"/>
      <c r="N282" s="68"/>
      <c r="O282" s="68"/>
      <c r="P282" s="68"/>
      <c r="Q282" s="68"/>
      <c r="R282" s="68"/>
      <c r="S282" s="68"/>
      <c r="T282" s="162"/>
      <c r="U282" s="162"/>
      <c r="V282" s="162"/>
      <c r="W282" s="162"/>
      <c r="X282" s="162"/>
      <c r="Y282" s="162"/>
      <c r="Z282" s="162"/>
    </row>
    <row r="283" spans="1:26" ht="13.5" customHeight="1" x14ac:dyDescent="0.25">
      <c r="A283" s="249"/>
      <c r="B283" s="68"/>
      <c r="C283" s="68"/>
      <c r="D283" s="68"/>
      <c r="E283" s="68"/>
      <c r="F283" s="68"/>
      <c r="G283" s="68"/>
      <c r="H283" s="68"/>
      <c r="K283" s="68"/>
      <c r="L283" s="68"/>
      <c r="M283" s="68"/>
      <c r="N283" s="68"/>
      <c r="O283" s="68"/>
      <c r="P283" s="68"/>
      <c r="Q283" s="68"/>
      <c r="R283" s="68"/>
      <c r="S283" s="68"/>
      <c r="T283" s="162"/>
      <c r="U283" s="162"/>
      <c r="V283" s="162"/>
      <c r="W283" s="162"/>
      <c r="X283" s="162"/>
      <c r="Y283" s="162"/>
      <c r="Z283" s="162"/>
    </row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E3:G3"/>
    <mergeCell ref="A4:B4"/>
  </mergeCell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Cummulative Summary</vt:lpstr>
      <vt:lpstr>FM Cost-incl Utility</vt:lpstr>
      <vt:lpstr>FM Cost-excl Utility</vt:lpstr>
      <vt:lpstr>CAM-Jun`23</vt:lpstr>
      <vt:lpstr>Tenant CAM-Jun`23</vt:lpstr>
      <vt:lpstr>CAM-Jul`23</vt:lpstr>
      <vt:lpstr>Tenant CAM-Jul`23</vt:lpstr>
      <vt:lpstr>CAM-Aug`23</vt:lpstr>
      <vt:lpstr>Tenant CAM-Aug`23</vt:lpstr>
      <vt:lpstr>CAM-Sep`23</vt:lpstr>
      <vt:lpstr>Tenant CAM-Sep`23</vt:lpstr>
      <vt:lpstr>CAM-Oct`23</vt:lpstr>
      <vt:lpstr>Tenant CAM-Oct`23</vt:lpstr>
      <vt:lpstr>CAM-Nov`23</vt:lpstr>
      <vt:lpstr>Tenant CAM-Nov`23</vt:lpstr>
      <vt:lpstr>CAM-Dec`23</vt:lpstr>
      <vt:lpstr>Tenant CAM-Dec`23</vt:lpstr>
      <vt:lpstr>CAM-Jan`24</vt:lpstr>
      <vt:lpstr>Tenant CAM-Jan`24</vt:lpstr>
      <vt:lpstr>CAM-Feb`24</vt:lpstr>
      <vt:lpstr>Tenant CAM-Feb`24</vt:lpstr>
      <vt:lpstr>CAM-Mar`24</vt:lpstr>
      <vt:lpstr>Tenant CAM-Mar`24</vt:lpstr>
      <vt:lpstr>CAM-Apr`24</vt:lpstr>
      <vt:lpstr>Tenant CAM-Apr`24</vt:lpstr>
      <vt:lpstr>CAM-May`24</vt:lpstr>
      <vt:lpstr>Tenant CAM-May`24</vt:lpstr>
      <vt:lpstr>CAM-Jun`24</vt:lpstr>
      <vt:lpstr>Tenant CAM-Jun`24</vt:lpstr>
      <vt:lpstr>CAM-Jul`24</vt:lpstr>
      <vt:lpstr>Tenant CAM-Jul`24</vt:lpstr>
      <vt:lpstr>CAM-Aug`24</vt:lpstr>
      <vt:lpstr>Tenant CAM-Aug`24</vt:lpstr>
      <vt:lpstr>CAM-Sep`24</vt:lpstr>
      <vt:lpstr>Tenant CAM-Sep`24</vt:lpstr>
      <vt:lpstr>CAM-Oct`24</vt:lpstr>
      <vt:lpstr>Tenant CAM-Oct`24</vt:lpstr>
      <vt:lpstr>CAM-Nov`24</vt:lpstr>
      <vt:lpstr>Tenant CAM-Nov`24</vt:lpstr>
      <vt:lpstr>CAM-Dec2024</vt:lpstr>
      <vt:lpstr>CAM-Jan2025</vt:lpstr>
      <vt:lpstr>CAM-Feb2025</vt:lpstr>
      <vt:lpstr>CAM-Mar2025</vt:lpstr>
      <vt:lpstr>CAM-Apr2025</vt:lpstr>
      <vt:lpstr>CAM-May2025</vt:lpstr>
      <vt:lpstr>CAM-Jun2025</vt:lpstr>
      <vt:lpstr>CAM-Jul2025</vt:lpstr>
      <vt:lpstr>CAM-Aug2025</vt:lpstr>
      <vt:lpstr>CAM-Sep2025</vt:lpstr>
      <vt:lpstr>CAM-Oct2025</vt:lpstr>
      <vt:lpstr>CAM-Nov2025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Chief Engineer</dc:creator>
  <cp:lastModifiedBy>Venu</cp:lastModifiedBy>
  <dcterms:created xsi:type="dcterms:W3CDTF">2021-11-26T10:21:00Z</dcterms:created>
  <dcterms:modified xsi:type="dcterms:W3CDTF">2026-01-07T08:05:35Z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799E4BC79ADC46AFA031FAB1D8B38E56</vt:lpwstr>
  </property>
  <property fmtid="{D5CDD505-2E9C-101B-9397-08002B2CF9AE}" pid="3" name="KSOProductBuildVer">
    <vt:lpwstr>1033-11.2.0.11536</vt:lpwstr>
  </property>
</Properties>
</file>